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slicers/slicer2.xml" ContentType="application/vnd.ms-excel.slicer+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2.xml" ContentType="application/vnd.openxmlformats-officedocument.spreadsheetml.table+xml"/>
  <Override PartName="/xl/slicers/slicer4.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mc:AlternateContent xmlns:mc="http://schemas.openxmlformats.org/markup-compatibility/2006">
    <mc:Choice Requires="x15">
      <x15ac:absPath xmlns:x15ac="http://schemas.microsoft.com/office/spreadsheetml/2010/11/ac" url="https://rocketsciencelab.sharepoint.com/clients/big-lottery-fund/YH funding ecology/Reporting/"/>
    </mc:Choice>
  </mc:AlternateContent>
  <xr:revisionPtr revIDLastSave="347" documentId="8_{62E4C3DF-977D-499F-AFFD-56C6F6C03A9E}" xr6:coauthVersionLast="40" xr6:coauthVersionMax="40" xr10:uidLastSave="{14C267B4-8839-40D5-8165-DC74DB2BE14B}"/>
  <bookViews>
    <workbookView xWindow="-120" yWindow="-120" windowWidth="29040" windowHeight="15840" tabRatio="601" xr2:uid="{5170AA31-54C9-47BB-BAF8-96875BE8D1EF}"/>
  </bookViews>
  <sheets>
    <sheet name="#1 Funding by LA" sheetId="3" r:id="rId1"/>
    <sheet name="#2 Funding by funding org" sheetId="5" r:id="rId2"/>
    <sheet name="Data table 2" sheetId="4" state="veryHidden" r:id="rId3"/>
    <sheet name="Data table 1" sheetId="1" state="veryHidden" r:id="rId4"/>
  </sheets>
  <definedNames>
    <definedName name="Slicer_Row_Labels">#N/A</definedName>
    <definedName name="Slicer_Row_Labels1">#N/A</definedName>
    <definedName name="Slicer_Type_of_funder">#N/A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7" i="3" l="1"/>
  <c r="K7" i="5"/>
  <c r="Q12" i="3"/>
  <c r="V15" i="3" l="1"/>
  <c r="V16" i="3"/>
  <c r="V7" i="3"/>
  <c r="V8" i="3"/>
  <c r="V9" i="3"/>
  <c r="V10" i="3"/>
  <c r="V11" i="3"/>
  <c r="V12" i="3"/>
  <c r="V13" i="3"/>
  <c r="V14" i="3"/>
  <c r="V6" i="3"/>
  <c r="Q8" i="3"/>
  <c r="Q9" i="3"/>
  <c r="Q10" i="3"/>
  <c r="Q11" i="3"/>
  <c r="Q13" i="3"/>
  <c r="Q14" i="3"/>
  <c r="Q15" i="3"/>
  <c r="Q16" i="3"/>
  <c r="Q6" i="3"/>
  <c r="K6" i="5"/>
  <c r="K8" i="5"/>
  <c r="K9" i="5"/>
  <c r="K10" i="5"/>
  <c r="K11" i="5"/>
  <c r="K12" i="5"/>
  <c r="K13" i="5"/>
  <c r="K14" i="5"/>
  <c r="K15" i="5"/>
  <c r="K16" i="5"/>
  <c r="DF26" i="4" l="1"/>
  <c r="B20" i="5" s="1"/>
  <c r="DE26" i="4"/>
  <c r="B33" i="5" s="1"/>
  <c r="DD26" i="4"/>
  <c r="B36" i="5" s="1"/>
  <c r="DC26" i="4"/>
  <c r="B53" i="5" s="1"/>
  <c r="DB26" i="4"/>
  <c r="B58" i="5" s="1"/>
  <c r="DA26" i="4"/>
  <c r="B55" i="5" s="1"/>
  <c r="CZ26" i="4"/>
  <c r="B43" i="5" s="1"/>
  <c r="CY26" i="4"/>
  <c r="B25" i="5" s="1"/>
  <c r="CX26" i="4"/>
  <c r="B19" i="5" s="1"/>
  <c r="CW26" i="4"/>
  <c r="B54" i="5" s="1"/>
  <c r="CV26" i="4"/>
  <c r="B31" i="5" s="1"/>
  <c r="CU26" i="4"/>
  <c r="B44" i="5" s="1"/>
  <c r="CT26" i="4"/>
  <c r="B14" i="5" s="1"/>
  <c r="CS26" i="4"/>
  <c r="B42" i="5" s="1"/>
  <c r="CR26" i="4"/>
  <c r="B37" i="5" s="1"/>
  <c r="CQ26" i="4"/>
  <c r="B16" i="5" s="1"/>
  <c r="CP26" i="4"/>
  <c r="B52" i="5" s="1"/>
  <c r="CO26" i="4"/>
  <c r="B39" i="5" s="1"/>
  <c r="CN26" i="4"/>
  <c r="B47" i="5" s="1"/>
  <c r="CM26" i="4"/>
  <c r="B28" i="5" s="1"/>
  <c r="CL26" i="4"/>
  <c r="B24" i="5" s="1"/>
  <c r="CK26" i="4"/>
  <c r="B50" i="5" s="1"/>
  <c r="CJ26" i="4"/>
  <c r="B26" i="5" s="1"/>
  <c r="CI26" i="4"/>
  <c r="B9" i="5" s="1"/>
  <c r="CH26" i="4"/>
  <c r="B22" i="5" s="1"/>
  <c r="CG26" i="4"/>
  <c r="B30" i="5" s="1"/>
  <c r="CF26" i="4"/>
  <c r="B48" i="5" s="1"/>
  <c r="CE26" i="4"/>
  <c r="B34" i="5" s="1"/>
  <c r="CD26" i="4"/>
  <c r="B12" i="5" s="1"/>
  <c r="CC26" i="4"/>
  <c r="B56" i="5" s="1"/>
  <c r="CB26" i="4"/>
  <c r="B18" i="5" s="1"/>
  <c r="CA26" i="4"/>
  <c r="B27" i="5" s="1"/>
  <c r="BZ26" i="4"/>
  <c r="B23" i="5" s="1"/>
  <c r="BY26" i="4"/>
  <c r="B32" i="5" s="1"/>
  <c r="BX26" i="4"/>
  <c r="B29" i="5" s="1"/>
  <c r="BW26" i="4"/>
  <c r="B7" i="5" s="1"/>
  <c r="BV26" i="4"/>
  <c r="B6" i="5" s="1"/>
  <c r="BU26" i="4"/>
  <c r="B40" i="5" s="1"/>
  <c r="BT26" i="4"/>
  <c r="B57" i="5" s="1"/>
  <c r="BS26" i="4"/>
  <c r="B49" i="5" s="1"/>
  <c r="BR26" i="4"/>
  <c r="B45" i="5" s="1"/>
  <c r="BQ26" i="4"/>
  <c r="B15" i="5" s="1"/>
  <c r="BP26" i="4"/>
  <c r="B10" i="5" s="1"/>
  <c r="BO26" i="4"/>
  <c r="B51" i="5" s="1"/>
  <c r="BN26" i="4"/>
  <c r="B38" i="5" s="1"/>
  <c r="BM26" i="4"/>
  <c r="B59" i="5" s="1"/>
  <c r="BL26" i="4"/>
  <c r="B13" i="5" s="1"/>
  <c r="BK26" i="4"/>
  <c r="B21" i="5" s="1"/>
  <c r="BJ26" i="4"/>
  <c r="B17" i="5" s="1"/>
  <c r="BI26" i="4"/>
  <c r="B11" i="5" s="1"/>
  <c r="BH26" i="4"/>
  <c r="B46" i="5" s="1"/>
  <c r="BG26" i="4"/>
  <c r="B8" i="5" s="1"/>
  <c r="L8" i="5" s="1"/>
  <c r="BF26" i="4"/>
  <c r="B35" i="5" s="1"/>
  <c r="BE26" i="4"/>
  <c r="B41" i="5" s="1"/>
  <c r="L13" i="5" l="1"/>
  <c r="L6" i="5"/>
  <c r="L11" i="5"/>
  <c r="L15" i="5"/>
  <c r="L10" i="5"/>
  <c r="L12" i="5"/>
  <c r="L14" i="5"/>
  <c r="L7" i="5"/>
  <c r="L9" i="5"/>
  <c r="L16" i="5"/>
  <c r="L5" i="5"/>
  <c r="B5" i="5"/>
  <c r="C26" i="4"/>
  <c r="AY57" i="1"/>
  <c r="T5" i="3" s="1"/>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X26" i="4"/>
  <c r="AY26" i="4"/>
  <c r="AZ26" i="4"/>
  <c r="BA26" i="4"/>
  <c r="BB26" i="4"/>
  <c r="BC26" i="4"/>
  <c r="BD26" i="4"/>
  <c r="U26" i="4"/>
  <c r="T26" i="4"/>
  <c r="S26" i="4"/>
  <c r="R26" i="4"/>
  <c r="Q26" i="4"/>
  <c r="P26" i="4"/>
  <c r="O26" i="4"/>
  <c r="N26" i="4"/>
  <c r="M26" i="4"/>
  <c r="L26" i="4"/>
  <c r="K26" i="4"/>
  <c r="J26" i="4"/>
  <c r="I26" i="4"/>
  <c r="H26" i="4"/>
  <c r="G26" i="4"/>
  <c r="F26" i="4"/>
  <c r="E26" i="4"/>
  <c r="D26" i="4"/>
  <c r="B26" i="4"/>
  <c r="DG26" i="4"/>
  <c r="H57" i="1"/>
  <c r="F57" i="1"/>
  <c r="D57" i="1"/>
  <c r="AZ57" i="1"/>
  <c r="R5" i="3" s="1"/>
  <c r="AX57" i="1"/>
  <c r="AV57" i="1"/>
  <c r="AT57" i="1"/>
  <c r="Z57" i="1"/>
  <c r="AB57" i="1"/>
  <c r="AD57" i="1"/>
  <c r="AF57" i="1"/>
  <c r="AH57" i="1"/>
  <c r="AJ57" i="1"/>
  <c r="AL57" i="1"/>
  <c r="AN57" i="1"/>
  <c r="AP57" i="1"/>
  <c r="AR57" i="1"/>
  <c r="P57" i="1"/>
  <c r="X57" i="1"/>
  <c r="V57" i="1"/>
  <c r="T57" i="1"/>
  <c r="R57" i="1"/>
  <c r="N57" i="1"/>
  <c r="L57" i="1"/>
  <c r="J57" i="1"/>
  <c r="AW57" i="1"/>
  <c r="AU57" i="1"/>
  <c r="AS57" i="1"/>
  <c r="AQ57" i="1"/>
  <c r="AO57" i="1"/>
  <c r="AM57" i="1"/>
  <c r="AK57" i="1"/>
  <c r="AI57" i="1"/>
  <c r="AG57" i="1"/>
  <c r="AE57" i="1"/>
  <c r="AC57" i="1"/>
  <c r="AA57" i="1"/>
  <c r="S57" i="1"/>
  <c r="Q57" i="1"/>
  <c r="O57" i="1"/>
  <c r="M57" i="1"/>
  <c r="X5" i="3" l="1"/>
  <c r="U5" i="3"/>
  <c r="C11" i="5"/>
  <c r="C59" i="5"/>
  <c r="D59" i="5" s="1"/>
  <c r="C15" i="5"/>
  <c r="C40" i="5"/>
  <c r="C33" i="5"/>
  <c r="C55" i="5"/>
  <c r="D55" i="5" s="1"/>
  <c r="C54" i="5"/>
  <c r="D54" i="5" s="1"/>
  <c r="C42" i="5"/>
  <c r="C39" i="5"/>
  <c r="C50" i="5"/>
  <c r="D50" i="5" s="1"/>
  <c r="C30" i="5"/>
  <c r="C56" i="5"/>
  <c r="D56" i="5" s="1"/>
  <c r="C32" i="5"/>
  <c r="C35" i="5"/>
  <c r="C17" i="5"/>
  <c r="C38" i="5"/>
  <c r="C45" i="5"/>
  <c r="D45" i="5" s="1"/>
  <c r="C6" i="5"/>
  <c r="C36" i="5"/>
  <c r="C43" i="5"/>
  <c r="D43" i="5" s="1"/>
  <c r="C31" i="5"/>
  <c r="C37" i="5"/>
  <c r="C47" i="5"/>
  <c r="D47" i="5" s="1"/>
  <c r="C26" i="5"/>
  <c r="D26" i="5" s="1"/>
  <c r="C48" i="5"/>
  <c r="D48" i="5" s="1"/>
  <c r="C18" i="5"/>
  <c r="D18" i="5" s="1"/>
  <c r="C29" i="5"/>
  <c r="D29" i="5" s="1"/>
  <c r="C8" i="5"/>
  <c r="C21" i="5"/>
  <c r="D21" i="5" s="1"/>
  <c r="C51" i="5"/>
  <c r="D51" i="5" s="1"/>
  <c r="C49" i="5"/>
  <c r="D49" i="5" s="1"/>
  <c r="C7" i="5"/>
  <c r="C53" i="5"/>
  <c r="D53" i="5" s="1"/>
  <c r="C25" i="5"/>
  <c r="D25" i="5" s="1"/>
  <c r="C44" i="5"/>
  <c r="D44" i="5" s="1"/>
  <c r="C16" i="5"/>
  <c r="C28" i="5"/>
  <c r="D28" i="5" s="1"/>
  <c r="C9" i="5"/>
  <c r="C34" i="5"/>
  <c r="C27" i="5"/>
  <c r="D27" i="5" s="1"/>
  <c r="C46" i="5"/>
  <c r="D46" i="5" s="1"/>
  <c r="C13" i="5"/>
  <c r="C10" i="5"/>
  <c r="C57" i="5"/>
  <c r="D57" i="5" s="1"/>
  <c r="C20" i="5"/>
  <c r="D20" i="5" s="1"/>
  <c r="C58" i="5"/>
  <c r="D58" i="5" s="1"/>
  <c r="C19" i="5"/>
  <c r="D19" i="5" s="1"/>
  <c r="C14" i="5"/>
  <c r="C52" i="5"/>
  <c r="D52" i="5" s="1"/>
  <c r="C24" i="5"/>
  <c r="D24" i="5" s="1"/>
  <c r="C22" i="5"/>
  <c r="D22" i="5" s="1"/>
  <c r="C12" i="5"/>
  <c r="C23" i="5"/>
  <c r="D23" i="5" s="1"/>
  <c r="C41" i="5"/>
  <c r="D41" i="5" s="1"/>
  <c r="F10" i="3"/>
  <c r="J10" i="3" s="1"/>
  <c r="F25" i="3"/>
  <c r="D15" i="3"/>
  <c r="D24" i="3"/>
  <c r="D13" i="3"/>
  <c r="D29" i="3"/>
  <c r="F6" i="3"/>
  <c r="F7" i="3"/>
  <c r="D22" i="3"/>
  <c r="D23" i="3"/>
  <c r="D9" i="3"/>
  <c r="F14" i="3"/>
  <c r="J14" i="3" s="1"/>
  <c r="F19" i="3"/>
  <c r="F18" i="3"/>
  <c r="F17" i="3"/>
  <c r="J17" i="3" s="1"/>
  <c r="D16" i="3"/>
  <c r="D11" i="3"/>
  <c r="D18" i="3"/>
  <c r="D19" i="3"/>
  <c r="D7" i="3"/>
  <c r="D27" i="3"/>
  <c r="F16" i="3"/>
  <c r="J16" i="3" s="1"/>
  <c r="F24" i="3"/>
  <c r="D20" i="3"/>
  <c r="D25" i="3"/>
  <c r="D10" i="3"/>
  <c r="F5" i="3"/>
  <c r="J5" i="3" s="1"/>
  <c r="F26" i="3"/>
  <c r="F12" i="3"/>
  <c r="J12" i="3" s="1"/>
  <c r="D8" i="3"/>
  <c r="D21" i="3"/>
  <c r="D5" i="3"/>
  <c r="F15" i="3"/>
  <c r="J15" i="3" s="1"/>
  <c r="F23" i="3"/>
  <c r="F21" i="3"/>
  <c r="F13" i="3"/>
  <c r="J13" i="3" s="1"/>
  <c r="D14" i="3"/>
  <c r="D26" i="3"/>
  <c r="D12" i="3"/>
  <c r="D6" i="3"/>
  <c r="D17" i="3"/>
  <c r="D28" i="3"/>
  <c r="Y57" i="1"/>
  <c r="W57" i="1"/>
  <c r="U57" i="1"/>
  <c r="K57" i="1"/>
  <c r="I57" i="1"/>
  <c r="E57" i="1"/>
  <c r="G57" i="1"/>
  <c r="C57" i="1"/>
  <c r="N7" i="5" l="1"/>
  <c r="J7" i="3"/>
  <c r="N9" i="5"/>
  <c r="N8" i="5"/>
  <c r="R16" i="3"/>
  <c r="R14" i="3"/>
  <c r="R11" i="3"/>
  <c r="J26" i="3"/>
  <c r="R12" i="3"/>
  <c r="J21" i="3"/>
  <c r="J24" i="3"/>
  <c r="R9" i="3"/>
  <c r="R15" i="3"/>
  <c r="J23" i="3"/>
  <c r="R8" i="3"/>
  <c r="R10" i="3"/>
  <c r="G18" i="3"/>
  <c r="R6" i="3"/>
  <c r="J18" i="3"/>
  <c r="J25" i="3"/>
  <c r="T13" i="3"/>
  <c r="J19" i="3"/>
  <c r="R13" i="3"/>
  <c r="N12" i="5"/>
  <c r="N14" i="5"/>
  <c r="N16" i="5"/>
  <c r="N10" i="5"/>
  <c r="D42" i="5"/>
  <c r="N6" i="5"/>
  <c r="N15" i="5"/>
  <c r="N13" i="5"/>
  <c r="N11" i="5"/>
  <c r="J6" i="3"/>
  <c r="G6" i="3"/>
  <c r="G7" i="3"/>
  <c r="R7" i="3"/>
  <c r="G13" i="3"/>
  <c r="G24" i="3"/>
  <c r="N5" i="5"/>
  <c r="D6" i="5"/>
  <c r="D37" i="5"/>
  <c r="D38" i="5"/>
  <c r="D35" i="5"/>
  <c r="D40" i="5"/>
  <c r="D34" i="5"/>
  <c r="D31" i="5"/>
  <c r="D36" i="5"/>
  <c r="D32" i="5"/>
  <c r="D30" i="5"/>
  <c r="D39" i="5"/>
  <c r="D33" i="5"/>
  <c r="D10" i="5"/>
  <c r="D15" i="5"/>
  <c r="D14" i="5"/>
  <c r="D13" i="5"/>
  <c r="D9" i="5"/>
  <c r="D16" i="5"/>
  <c r="O16" i="5" s="1"/>
  <c r="D7" i="5"/>
  <c r="D8" i="5"/>
  <c r="D17" i="5"/>
  <c r="D11" i="5"/>
  <c r="D12" i="5"/>
  <c r="C5" i="5"/>
  <c r="D5" i="5" s="1"/>
  <c r="G16" i="3"/>
  <c r="G15" i="3"/>
  <c r="G12" i="3"/>
  <c r="G5" i="3"/>
  <c r="G19" i="3"/>
  <c r="G10" i="3"/>
  <c r="G21" i="3"/>
  <c r="G17" i="3"/>
  <c r="G26" i="3"/>
  <c r="G23" i="3"/>
  <c r="G14" i="3"/>
  <c r="G25" i="3"/>
  <c r="F29" i="3"/>
  <c r="F11" i="3"/>
  <c r="J11" i="3" s="1"/>
  <c r="F20" i="3"/>
  <c r="F9" i="3"/>
  <c r="J9" i="3" s="1"/>
  <c r="F22" i="3"/>
  <c r="F28" i="3"/>
  <c r="F27" i="3"/>
  <c r="F8" i="3"/>
  <c r="J8" i="3" s="1"/>
  <c r="O15" i="5" l="1"/>
  <c r="T14" i="3"/>
  <c r="T7" i="3"/>
  <c r="T12" i="3"/>
  <c r="O11" i="5"/>
  <c r="O9" i="5"/>
  <c r="O10" i="5"/>
  <c r="O13" i="5"/>
  <c r="O6" i="5"/>
  <c r="O7" i="5"/>
  <c r="U13" i="3"/>
  <c r="X11" i="3"/>
  <c r="X13" i="3"/>
  <c r="T6" i="3"/>
  <c r="O8" i="5"/>
  <c r="O12" i="5"/>
  <c r="O14" i="5"/>
  <c r="T9" i="3"/>
  <c r="X6" i="3"/>
  <c r="T11" i="3"/>
  <c r="G27" i="3"/>
  <c r="T15" i="3"/>
  <c r="J20" i="3"/>
  <c r="X14" i="3" s="1"/>
  <c r="T8" i="3"/>
  <c r="G28" i="3"/>
  <c r="T16" i="3"/>
  <c r="J22" i="3"/>
  <c r="X12" i="3" s="1"/>
  <c r="T10" i="3"/>
  <c r="G29" i="3"/>
  <c r="O5" i="5"/>
  <c r="G20" i="3"/>
  <c r="G8" i="3"/>
  <c r="G9" i="3"/>
  <c r="G22" i="3"/>
  <c r="G11" i="3"/>
  <c r="U14" i="3" l="1"/>
  <c r="X9" i="3"/>
  <c r="U15" i="3"/>
  <c r="X7" i="3"/>
  <c r="U10" i="3"/>
  <c r="X16" i="3"/>
  <c r="U16" i="3"/>
  <c r="U6" i="3"/>
  <c r="U9" i="3"/>
  <c r="U7" i="3"/>
  <c r="U12" i="3"/>
  <c r="U11" i="3"/>
  <c r="X10" i="3"/>
  <c r="X8" i="3"/>
  <c r="X15" i="3"/>
  <c r="U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Turner</author>
  </authors>
  <commentList>
    <comment ref="P4" authorId="0" shapeId="0" xr:uid="{9003B75E-8EE5-4C20-B2B5-D440CB867A35}">
      <text>
        <r>
          <rPr>
            <sz val="9"/>
            <color indexed="81"/>
            <rFont val="Tahoma"/>
            <family val="2"/>
          </rPr>
          <t xml:space="preserve">Select a type of funder or an individual funder by clicking on their name in the boxes below. Select more than one by first clicking on the icon with the three ticks; use the icon with the red cross to clear your selection.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James Turner</author>
  </authors>
  <commentList>
    <comment ref="J4" authorId="0" shapeId="0" xr:uid="{39841767-7A1E-428F-9306-095268F97CB6}">
      <text>
        <r>
          <rPr>
            <sz val="9"/>
            <color indexed="81"/>
            <rFont val="Lato"/>
            <family val="2"/>
          </rPr>
          <t xml:space="preserve">Select one local authority by clicking on the LA name.  To select more than one LA, first click the icon with three ticks in the top right.  To reset, click the icon with the red cross.
</t>
        </r>
        <r>
          <rPr>
            <sz val="9"/>
            <color indexed="81"/>
            <rFont val="Tahoma"/>
            <family val="2"/>
          </rPr>
          <t xml:space="preserve">
</t>
        </r>
      </text>
    </comment>
  </commentList>
</comments>
</file>

<file path=xl/sharedStrings.xml><?xml version="1.0" encoding="utf-8"?>
<sst xmlns="http://schemas.openxmlformats.org/spreadsheetml/2006/main" count="418" uniqueCount="187">
  <si>
    <t>Row Labels</t>
  </si>
  <si>
    <t>Type of funder</t>
  </si>
  <si>
    <t xml:space="preserve"> Data missing</t>
  </si>
  <si>
    <t xml:space="preserve"> Y&amp;H Region-wide</t>
  </si>
  <si>
    <t>2 or more Local Authorities</t>
  </si>
  <si>
    <t>Barnsley</t>
  </si>
  <si>
    <t>Bradford</t>
  </si>
  <si>
    <t>Calderdale</t>
  </si>
  <si>
    <t>Craven</t>
  </si>
  <si>
    <t>Doncaster</t>
  </si>
  <si>
    <t>East Riding of Yorkshire</t>
  </si>
  <si>
    <t>Hambleton</t>
  </si>
  <si>
    <t>Harrogate</t>
  </si>
  <si>
    <t>Kingston upon Hull, City of</t>
  </si>
  <si>
    <t>Kirklees</t>
  </si>
  <si>
    <t>Leeds</t>
  </si>
  <si>
    <t>North East Lincolnshire</t>
  </si>
  <si>
    <t>North Lincolnshire</t>
  </si>
  <si>
    <t>Richmondshire</t>
  </si>
  <si>
    <t>Rotherham</t>
  </si>
  <si>
    <t>Ryedale</t>
  </si>
  <si>
    <t>Scarborough</t>
  </si>
  <si>
    <t>Selby</t>
  </si>
  <si>
    <t>Sheffield</t>
  </si>
  <si>
    <t>Wakefield</t>
  </si>
  <si>
    <t>York</t>
  </si>
  <si>
    <t>Grand Total</t>
  </si>
  <si>
    <t>AB Charitable Trust</t>
  </si>
  <si>
    <t>National</t>
  </si>
  <si>
    <t>Allen Lane Foundation</t>
  </si>
  <si>
    <t>Local</t>
  </si>
  <si>
    <t>Arts Council</t>
  </si>
  <si>
    <t>Barrow Cadbury Trust</t>
  </si>
  <si>
    <t>BBC Children in Need</t>
  </si>
  <si>
    <t>Comic Relief</t>
  </si>
  <si>
    <t>Cooperative Group</t>
  </si>
  <si>
    <t>Esmée Fairbairn Foundation</t>
  </si>
  <si>
    <t xml:space="preserve">Indigo Trust </t>
  </si>
  <si>
    <t>LandAid</t>
  </si>
  <si>
    <t>Leeds Community Foundation</t>
  </si>
  <si>
    <t>Lloyds Bank Foundation</t>
  </si>
  <si>
    <t>Masonic Charitable Foundation</t>
  </si>
  <si>
    <t xml:space="preserve">Metis Trust </t>
  </si>
  <si>
    <t>Mollie Croysdale Charitable Trust</t>
  </si>
  <si>
    <t>National Churches Trust</t>
  </si>
  <si>
    <t>National Lottery Community Fund</t>
  </si>
  <si>
    <t>National Lottery Heritage Fund</t>
  </si>
  <si>
    <t>Nationwide Foundation</t>
  </si>
  <si>
    <t>NESTA</t>
  </si>
  <si>
    <t>Paul Hamlyn Foundation</t>
  </si>
  <si>
    <t>Pears Foundation</t>
  </si>
  <si>
    <t>Power to Change</t>
  </si>
  <si>
    <t>R S Macdonald Charitable Trust</t>
  </si>
  <si>
    <t>Scurrah Wainwright Charity</t>
  </si>
  <si>
    <t>Seafarers UK</t>
  </si>
  <si>
    <t>Sir George Martin Trust</t>
  </si>
  <si>
    <t>Sport England</t>
  </si>
  <si>
    <t xml:space="preserve">The Brelms Trust </t>
  </si>
  <si>
    <t>The Clothworkers Foundation</t>
  </si>
  <si>
    <t>The Craven Trust and the Beamsley Trust</t>
  </si>
  <si>
    <t>The Dulverton Trust</t>
  </si>
  <si>
    <t>The HBJ Trust</t>
  </si>
  <si>
    <t>The Henry Smith Charity</t>
  </si>
  <si>
    <t>The Jospeh Rank Trust</t>
  </si>
  <si>
    <t>The Talbot Trusts</t>
  </si>
  <si>
    <t>The Tudor Trust</t>
  </si>
  <si>
    <t>The Wharfedale Foundation</t>
  </si>
  <si>
    <t>Wolfson Foundation</t>
  </si>
  <si>
    <t>Woodward Charitable Trust</t>
  </si>
  <si>
    <t>Garfield Weston Foundation</t>
  </si>
  <si>
    <t>Lankelly Chase Foundation</t>
  </si>
  <si>
    <t>Samworth Foundation</t>
  </si>
  <si>
    <t>Tedworth Charitable Trust</t>
  </si>
  <si>
    <t>Three Guineas Trust</t>
  </si>
  <si>
    <t>Tuixen Foundation</t>
  </si>
  <si>
    <t>True Colours Trust</t>
  </si>
  <si>
    <t>Joseph Rowntree Foundation</t>
  </si>
  <si>
    <t>Grand Total by Organisation</t>
  </si>
  <si>
    <t>Funding Total</t>
  </si>
  <si>
    <t>Population</t>
  </si>
  <si>
    <t>Funding per head</t>
  </si>
  <si>
    <t>n/a</t>
  </si>
  <si>
    <t>Total</t>
  </si>
  <si>
    <t>Number of awards</t>
  </si>
  <si>
    <t>Average grant size</t>
  </si>
  <si>
    <t>Value of awards</t>
  </si>
  <si>
    <t>Barnsley Awards</t>
  </si>
  <si>
    <t>Bradford Awards</t>
  </si>
  <si>
    <t>Calderdale Awards</t>
  </si>
  <si>
    <t>Craven Awards</t>
  </si>
  <si>
    <t>Doncaster Awards</t>
  </si>
  <si>
    <t>East Riding of Yorkshire Awards</t>
  </si>
  <si>
    <t>Hambleton Awards</t>
  </si>
  <si>
    <t>Harrogate Awards</t>
  </si>
  <si>
    <t>York Awards</t>
  </si>
  <si>
    <t>Wakefield Awards</t>
  </si>
  <si>
    <t>Sheffield Awards</t>
  </si>
  <si>
    <t>Selby Awards</t>
  </si>
  <si>
    <t>Scarborough Awards</t>
  </si>
  <si>
    <t>Ryedale Awards</t>
  </si>
  <si>
    <t>Rotherham Awards</t>
  </si>
  <si>
    <t>Richmondshire Awards</t>
  </si>
  <si>
    <t>North Lincolnshire Awards</t>
  </si>
  <si>
    <t>North East Lincolnshire Awards</t>
  </si>
  <si>
    <t>Leeds Awards</t>
  </si>
  <si>
    <t>Kirklees Awards</t>
  </si>
  <si>
    <t>Kingston upon Hull, City of Awards</t>
  </si>
  <si>
    <t>Total Awards</t>
  </si>
  <si>
    <t>Data Missing Awards</t>
  </si>
  <si>
    <t xml:space="preserve"> Y&amp;H Region-wide Awards</t>
  </si>
  <si>
    <t>2 or more Local Authorities Awards</t>
  </si>
  <si>
    <t>Total Number of Awards</t>
  </si>
  <si>
    <t>Local Authority</t>
  </si>
  <si>
    <t>Funding organisation</t>
  </si>
  <si>
    <t>AB Charitable Trust2</t>
  </si>
  <si>
    <t>Allen Lane Foundation3</t>
  </si>
  <si>
    <t>Arts Council4</t>
  </si>
  <si>
    <t>Barrow Cadbury Trust5</t>
  </si>
  <si>
    <t>BBC Children in Need6</t>
  </si>
  <si>
    <t>Comic Relief7</t>
  </si>
  <si>
    <t>Cooperative Group8</t>
  </si>
  <si>
    <t>Esmée Fairbairn Foundation9</t>
  </si>
  <si>
    <t>Indigo Trust 10</t>
  </si>
  <si>
    <t>LandAid11</t>
  </si>
  <si>
    <t>LBS Foundation12</t>
  </si>
  <si>
    <t>Leeds Community Foundation13</t>
  </si>
  <si>
    <t>Lloyds Bank Foundation14</t>
  </si>
  <si>
    <t>Masonic Charitable Foundation15</t>
  </si>
  <si>
    <t>Metis Trust 16</t>
  </si>
  <si>
    <t>Mollie Croysdale Charitable Trust17</t>
  </si>
  <si>
    <t>National Churches Trust18</t>
  </si>
  <si>
    <t>National Lottery Community Fund19</t>
  </si>
  <si>
    <t>National Lottery Heritage Fund20</t>
  </si>
  <si>
    <t>Nationwide Foundation21</t>
  </si>
  <si>
    <t>NESTA22</t>
  </si>
  <si>
    <t>Paul Hamlyn Foundation23</t>
  </si>
  <si>
    <t>Pears Foundation24</t>
  </si>
  <si>
    <t>Power to Change25</t>
  </si>
  <si>
    <t>R S Macdonald Charitable Trust26</t>
  </si>
  <si>
    <t>Rawhorts27</t>
  </si>
  <si>
    <t>Scurrah Wainwright Charity28</t>
  </si>
  <si>
    <t>Seafarers UK29</t>
  </si>
  <si>
    <t>Sir George Martin Trust30</t>
  </si>
  <si>
    <t>South Yorkshire Community Fund31</t>
  </si>
  <si>
    <t>Sport England32</t>
  </si>
  <si>
    <t>Sykes Trust33</t>
  </si>
  <si>
    <t>The Brelms Trust 35</t>
  </si>
  <si>
    <t>The Clothworkers Foundation36</t>
  </si>
  <si>
    <t>The Craven Trust and the Beamsley Trust37</t>
  </si>
  <si>
    <t>The Dulverton Trust38</t>
  </si>
  <si>
    <t>The HBJ Trust39</t>
  </si>
  <si>
    <t>The Henry Smith Charity40</t>
  </si>
  <si>
    <t>The Jospeh Rank Trust41</t>
  </si>
  <si>
    <t>The Talbot Trusts42</t>
  </si>
  <si>
    <t>The Tudor Trust43</t>
  </si>
  <si>
    <t>The Wharfedale Foundation44</t>
  </si>
  <si>
    <t>Wolfson Foundation45</t>
  </si>
  <si>
    <t>Woodward Charitable Trust46</t>
  </si>
  <si>
    <t>Garfield Weston Foundation47</t>
  </si>
  <si>
    <t>Lankelly Chase Foundation48</t>
  </si>
  <si>
    <t>Samworth Foundation49</t>
  </si>
  <si>
    <t>Tedworth Charitable Trust50</t>
  </si>
  <si>
    <t>Three Guineas Trust51</t>
  </si>
  <si>
    <t>Tuixen Foundation52</t>
  </si>
  <si>
    <t>True Colours Trust53</t>
  </si>
  <si>
    <t>Joseph Rowntree Foundation54</t>
  </si>
  <si>
    <t>Two Ridings Foundation55</t>
  </si>
  <si>
    <t>Selection</t>
  </si>
  <si>
    <t>Funding by funding organisation - select which local authority/ies you want to see and the table will show the breakdown of their awards by funding organisation</t>
  </si>
  <si>
    <t>z - Data missing</t>
  </si>
  <si>
    <t>z-  2 or more Local Authorities</t>
  </si>
  <si>
    <t>z- Y&amp;H Region-wide</t>
  </si>
  <si>
    <t>Funding Total (15/16, 16/17, 17/18 combined)</t>
  </si>
  <si>
    <t>National Lottery distribution body</t>
  </si>
  <si>
    <t>A</t>
  </si>
  <si>
    <t>B</t>
  </si>
  <si>
    <t>D</t>
  </si>
  <si>
    <t>C = B/A</t>
  </si>
  <si>
    <t>E = B/D</t>
  </si>
  <si>
    <t>South Yorkshire's Community Foundation</t>
  </si>
  <si>
    <t>Funding by local authority -select which funder(s) you want to see and the table will show the breakdown of their awards by Local Authority</t>
  </si>
  <si>
    <t>Leeds Building Society Foundation</t>
  </si>
  <si>
    <t>Liz &amp; Terry Bramall Foundation</t>
  </si>
  <si>
    <t>Two Ridings Community Foundation</t>
  </si>
  <si>
    <t>Tarn Moor Estate34</t>
  </si>
  <si>
    <t>Tarn Moor Estate</t>
  </si>
  <si>
    <t>Charles &amp; Elsie Sykes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</si>
</sst>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809]#,##0;\-[$£-809]#,##0"/>
    <numFmt numFmtId="165" formatCode="&quot;£&quot;#,##0"/>
    <numFmt numFmtId="166" formatCode="#,##0_ ;\-#,##0\ "/>
    <numFmt numFmtId="167" formatCode="&quot;£&quot;#,##0.00"/>
    <numFmt numFmtId="168" formatCode="_-* #,##0_-;\-* #,##0_-;_-* &quot;-&quot;??_-;_-@_-"/>
    <numFmt numFmtId="169" formatCode="_-* #,##0_-;\-* #,##0_-;_-* &quot;&quot;_-;_-@_-"/>
    <numFmt numFmtId="170" formatCode="&quot;£&quot;#,##0;\-&quot;£&quot;\~\,##0;&quot;&quot;"/>
    <numFmt numFmtId="171" formatCode="&quot;£&quot;#,##0;\-&quot;£&quot;#,##0;&quot;-&quot;"/>
    <numFmt numFmtId="172" formatCode="_-* #,##0;\-* #,##0;_-* &quot;-&quot;;_-@_-"/>
  </numFmts>
  <fonts count="18">
    <font>
      <sz val="11"/>
      <color theme="1"/>
      <name val="Lato"/>
      <family val="2"/>
      <scheme val="minor"/>
    </font>
    <font>
      <b/>
      <sz val="11"/>
      <color theme="1"/>
      <name val="Lato"/>
      <family val="2"/>
      <scheme val="minor"/>
    </font>
    <font>
      <b/>
      <sz val="11"/>
      <color theme="0"/>
      <name val="Lato"/>
      <family val="2"/>
      <scheme val="minor"/>
    </font>
    <font>
      <sz val="12"/>
      <name val="Lato"/>
      <family val="2"/>
    </font>
    <font>
      <sz val="12"/>
      <color theme="1"/>
      <name val="Lato"/>
      <family val="2"/>
    </font>
    <font>
      <sz val="11"/>
      <color theme="1"/>
      <name val="Lato"/>
      <family val="2"/>
      <scheme val="minor"/>
    </font>
    <font>
      <b/>
      <sz val="12"/>
      <color theme="1"/>
      <name val="Lato"/>
      <family val="2"/>
    </font>
    <font>
      <b/>
      <sz val="10"/>
      <color theme="1"/>
      <name val="Lato"/>
      <family val="2"/>
    </font>
    <font>
      <b/>
      <sz val="12"/>
      <color theme="0"/>
      <name val="Lato"/>
      <family val="2"/>
    </font>
    <font>
      <b/>
      <sz val="10"/>
      <name val="Lato"/>
      <family val="2"/>
    </font>
    <font>
      <b/>
      <sz val="14"/>
      <color theme="4"/>
      <name val="Lato"/>
      <family val="2"/>
      <scheme val="minor"/>
    </font>
    <font>
      <b/>
      <sz val="14"/>
      <color theme="5"/>
      <name val="Lato"/>
      <family val="2"/>
      <scheme val="minor"/>
    </font>
    <font>
      <sz val="12"/>
      <color theme="1"/>
      <name val="Lato"/>
      <family val="2"/>
    </font>
    <font>
      <sz val="12"/>
      <color theme="1"/>
      <name val="Lato"/>
      <family val="2"/>
      <scheme val="minor"/>
    </font>
    <font>
      <sz val="9"/>
      <color indexed="81"/>
      <name val="Tahoma"/>
      <family val="2"/>
    </font>
    <font>
      <sz val="8"/>
      <color theme="1"/>
      <name val="Lato"/>
      <family val="2"/>
    </font>
    <font>
      <sz val="8"/>
      <name val="Lato"/>
      <family val="2"/>
    </font>
    <font>
      <sz val="9"/>
      <color indexed="81"/>
      <name val="Lato"/>
      <family val="2"/>
    </font>
  </fonts>
  <fills count="11">
    <fill>
      <patternFill patternType="none"/>
    </fill>
    <fill>
      <patternFill patternType="gray125"/>
    </fill>
    <fill>
      <patternFill patternType="solid">
        <fgColor theme="4"/>
        <bgColor theme="4"/>
      </patternFill>
    </fill>
    <fill>
      <patternFill patternType="solid">
        <fgColor theme="0"/>
        <bgColor theme="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4"/>
        <bgColor indexed="64"/>
      </patternFill>
    </fill>
    <fill>
      <patternFill patternType="solid">
        <fgColor rgb="FFFFFF00"/>
        <bgColor indexed="64"/>
      </patternFill>
    </fill>
    <fill>
      <patternFill patternType="solid">
        <fgColor theme="4" tint="0.5999938962981048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91">
    <xf numFmtId="0" fontId="0" fillId="0" borderId="0" xfId="0"/>
    <xf numFmtId="164" fontId="0" fillId="0" borderId="0" xfId="0" applyNumberFormat="1"/>
    <xf numFmtId="164" fontId="1" fillId="0" borderId="0" xfId="0" applyNumberFormat="1" applyFont="1"/>
    <xf numFmtId="165" fontId="0" fillId="0" borderId="0" xfId="0" applyNumberFormat="1"/>
    <xf numFmtId="0" fontId="2" fillId="3" borderId="0" xfId="0" applyFont="1" applyFill="1"/>
    <xf numFmtId="1" fontId="0" fillId="0" borderId="0" xfId="0" applyNumberFormat="1"/>
    <xf numFmtId="0" fontId="0" fillId="4" borderId="0" xfId="0" applyFill="1"/>
    <xf numFmtId="3" fontId="0" fillId="0" borderId="0" xfId="0" applyNumberFormat="1"/>
    <xf numFmtId="0" fontId="0" fillId="5" borderId="0" xfId="0" applyFill="1"/>
    <xf numFmtId="3" fontId="0" fillId="5" borderId="0" xfId="0" applyNumberFormat="1" applyFill="1"/>
    <xf numFmtId="166" fontId="0" fillId="5" borderId="0" xfId="0" applyNumberFormat="1" applyFill="1"/>
    <xf numFmtId="0" fontId="0" fillId="6" borderId="0" xfId="0" applyFill="1"/>
    <xf numFmtId="0" fontId="3" fillId="3" borderId="0" xfId="0" applyFont="1" applyFill="1"/>
    <xf numFmtId="3" fontId="4" fillId="6" borderId="0" xfId="0" applyNumberFormat="1" applyFont="1" applyFill="1" applyAlignment="1">
      <alignment vertical="center" wrapText="1"/>
    </xf>
    <xf numFmtId="0" fontId="0" fillId="6" borderId="0" xfId="0" applyFill="1" applyAlignment="1">
      <alignment horizontal="right"/>
    </xf>
    <xf numFmtId="0" fontId="3" fillId="3" borderId="0" xfId="0" applyFont="1" applyFill="1" applyAlignment="1">
      <alignment horizontal="right" vertical="center"/>
    </xf>
    <xf numFmtId="168" fontId="3" fillId="3" borderId="0" xfId="1" applyNumberFormat="1" applyFont="1" applyFill="1" applyAlignment="1">
      <alignment horizontal="right" vertical="center"/>
    </xf>
    <xf numFmtId="165" fontId="4" fillId="6" borderId="0" xfId="0" applyNumberFormat="1" applyFont="1" applyFill="1" applyAlignment="1">
      <alignment vertical="center"/>
    </xf>
    <xf numFmtId="0" fontId="4" fillId="6" borderId="0" xfId="0" applyFont="1" applyFill="1" applyAlignment="1">
      <alignment horizontal="right" vertical="center"/>
    </xf>
    <xf numFmtId="167" fontId="4" fillId="6" borderId="0" xfId="0" applyNumberFormat="1" applyFont="1" applyFill="1" applyAlignment="1">
      <alignment vertical="center"/>
    </xf>
    <xf numFmtId="169" fontId="3" fillId="3" borderId="0" xfId="1" applyNumberFormat="1" applyFont="1" applyFill="1" applyAlignment="1">
      <alignment horizontal="right" vertical="center"/>
    </xf>
    <xf numFmtId="170" fontId="4" fillId="6" borderId="0" xfId="0" applyNumberFormat="1" applyFont="1" applyFill="1" applyAlignment="1">
      <alignment vertical="center"/>
    </xf>
    <xf numFmtId="3" fontId="4" fillId="6" borderId="0" xfId="0" applyNumberFormat="1" applyFont="1" applyFill="1" applyAlignment="1">
      <alignment horizontal="right" vertical="center"/>
    </xf>
    <xf numFmtId="165" fontId="4" fillId="6" borderId="0" xfId="0" applyNumberFormat="1" applyFont="1" applyFill="1" applyAlignment="1">
      <alignment horizontal="right" vertical="center"/>
    </xf>
    <xf numFmtId="0" fontId="6" fillId="7" borderId="1" xfId="0" applyFont="1" applyFill="1" applyBorder="1" applyAlignment="1">
      <alignment horizontal="right" vertical="center"/>
    </xf>
    <xf numFmtId="165" fontId="6" fillId="7" borderId="1" xfId="0" applyNumberFormat="1" applyFont="1" applyFill="1" applyBorder="1" applyAlignment="1">
      <alignment horizontal="right" vertical="center"/>
    </xf>
    <xf numFmtId="1" fontId="6" fillId="7" borderId="1" xfId="0" applyNumberFormat="1" applyFont="1" applyFill="1" applyBorder="1" applyAlignment="1">
      <alignment horizontal="right" vertical="center"/>
    </xf>
    <xf numFmtId="0" fontId="7" fillId="6" borderId="1" xfId="0" applyFont="1" applyFill="1" applyBorder="1" applyAlignment="1">
      <alignment horizontal="right" wrapText="1"/>
    </xf>
    <xf numFmtId="0" fontId="10" fillId="6" borderId="0" xfId="0" applyFont="1" applyFill="1" applyAlignment="1">
      <alignment vertical="center"/>
    </xf>
    <xf numFmtId="165" fontId="6" fillId="7" borderId="0" xfId="0" applyNumberFormat="1" applyFont="1" applyFill="1" applyAlignment="1">
      <alignment horizontal="right" vertical="center"/>
    </xf>
    <xf numFmtId="165" fontId="12" fillId="6" borderId="0" xfId="0" applyNumberFormat="1" applyFont="1" applyFill="1" applyAlignment="1">
      <alignment horizontal="right" vertical="center"/>
    </xf>
    <xf numFmtId="3" fontId="0" fillId="9" borderId="0" xfId="0" applyNumberFormat="1" applyFill="1"/>
    <xf numFmtId="0" fontId="0" fillId="6" borderId="0" xfId="0" applyFill="1" applyAlignment="1">
      <alignment horizontal="right" vertical="center"/>
    </xf>
    <xf numFmtId="0" fontId="0" fillId="6" borderId="0" xfId="0" applyFill="1" applyAlignment="1">
      <alignment vertical="center"/>
    </xf>
    <xf numFmtId="165" fontId="0" fillId="6" borderId="0" xfId="0" applyNumberFormat="1" applyFill="1" applyAlignment="1">
      <alignment vertical="center"/>
    </xf>
    <xf numFmtId="3" fontId="0" fillId="6" borderId="0" xfId="0" applyNumberFormat="1" applyFill="1" applyAlignment="1">
      <alignment horizontal="right" vertical="center"/>
    </xf>
    <xf numFmtId="167" fontId="0" fillId="6" borderId="0" xfId="0" applyNumberFormat="1" applyFill="1" applyAlignment="1">
      <alignment horizontal="right" vertical="center"/>
    </xf>
    <xf numFmtId="171" fontId="0" fillId="6" borderId="0" xfId="0" applyNumberFormat="1" applyFill="1" applyAlignment="1">
      <alignment vertical="center"/>
    </xf>
    <xf numFmtId="41" fontId="0" fillId="6" borderId="0" xfId="1" applyNumberFormat="1" applyFont="1" applyFill="1" applyAlignment="1">
      <alignment vertical="center"/>
    </xf>
    <xf numFmtId="0" fontId="7" fillId="6" borderId="0" xfId="0" applyFont="1" applyFill="1" applyAlignment="1">
      <alignment horizontal="right" wrapText="1"/>
    </xf>
    <xf numFmtId="0" fontId="13" fillId="6" borderId="0" xfId="0" applyFont="1" applyFill="1" applyAlignment="1">
      <alignment horizontal="right"/>
    </xf>
    <xf numFmtId="172" fontId="13" fillId="6" borderId="0" xfId="1" applyNumberFormat="1" applyFont="1" applyFill="1"/>
    <xf numFmtId="171" fontId="13" fillId="6" borderId="0" xfId="0" applyNumberFormat="1" applyFont="1" applyFill="1"/>
    <xf numFmtId="165" fontId="13" fillId="6" borderId="0" xfId="0" applyNumberFormat="1" applyFont="1" applyFill="1"/>
    <xf numFmtId="0" fontId="0" fillId="6" borderId="0" xfId="0" applyFill="1" applyProtection="1">
      <protection locked="0" hidden="1"/>
    </xf>
    <xf numFmtId="0" fontId="10" fillId="6" borderId="0" xfId="0" applyFont="1" applyFill="1" applyAlignment="1" applyProtection="1">
      <alignment vertical="center"/>
      <protection locked="0" hidden="1"/>
    </xf>
    <xf numFmtId="0" fontId="10" fillId="6" borderId="0" xfId="0" applyFont="1" applyFill="1" applyAlignment="1" applyProtection="1">
      <alignment horizontal="right" vertical="center"/>
      <protection locked="0" hidden="1"/>
    </xf>
    <xf numFmtId="0" fontId="0" fillId="6" borderId="0" xfId="0" applyFill="1" applyAlignment="1" applyProtection="1">
      <alignment horizontal="right"/>
      <protection locked="0" hidden="1"/>
    </xf>
    <xf numFmtId="0" fontId="1" fillId="6" borderId="0" xfId="0" applyFont="1" applyFill="1" applyProtection="1">
      <protection locked="0" hidden="1"/>
    </xf>
    <xf numFmtId="0" fontId="1" fillId="6" borderId="0" xfId="0" applyFont="1" applyFill="1" applyAlignment="1" applyProtection="1">
      <alignment horizontal="right"/>
      <protection locked="0" hidden="1"/>
    </xf>
    <xf numFmtId="0" fontId="9" fillId="6" borderId="1" xfId="0" applyFont="1" applyFill="1" applyBorder="1" applyAlignment="1" applyProtection="1">
      <alignment horizontal="right" wrapText="1"/>
      <protection locked="0" hidden="1"/>
    </xf>
    <xf numFmtId="0" fontId="7" fillId="6" borderId="1" xfId="0" applyFont="1" applyFill="1" applyBorder="1" applyAlignment="1" applyProtection="1">
      <alignment horizontal="right" wrapText="1"/>
      <protection locked="0" hidden="1"/>
    </xf>
    <xf numFmtId="0" fontId="8" fillId="2" borderId="2" xfId="0" applyFont="1" applyFill="1" applyBorder="1" applyAlignment="1" applyProtection="1">
      <alignment horizontal="right" vertical="center"/>
      <protection locked="0" hidden="1"/>
    </xf>
    <xf numFmtId="168" fontId="8" fillId="2" borderId="2" xfId="1" applyNumberFormat="1" applyFont="1" applyFill="1" applyBorder="1" applyAlignment="1" applyProtection="1">
      <alignment horizontal="right" vertical="center"/>
      <protection locked="0" hidden="1"/>
    </xf>
    <xf numFmtId="165" fontId="8" fillId="8" borderId="2" xfId="0" applyNumberFormat="1" applyFont="1" applyFill="1" applyBorder="1" applyAlignment="1" applyProtection="1">
      <alignment vertical="center"/>
      <protection locked="0" hidden="1"/>
    </xf>
    <xf numFmtId="3" fontId="8" fillId="8" borderId="2" xfId="0" applyNumberFormat="1" applyFont="1" applyFill="1" applyBorder="1" applyAlignment="1" applyProtection="1">
      <alignment vertical="center" wrapText="1"/>
      <protection locked="0" hidden="1"/>
    </xf>
    <xf numFmtId="167" fontId="8" fillId="8" borderId="2" xfId="0" applyNumberFormat="1" applyFont="1" applyFill="1" applyBorder="1" applyAlignment="1" applyProtection="1">
      <alignment vertical="center"/>
      <protection locked="0" hidden="1"/>
    </xf>
    <xf numFmtId="0" fontId="3" fillId="3" borderId="0" xfId="0" applyFont="1" applyFill="1" applyAlignment="1" applyProtection="1">
      <alignment horizontal="right" vertical="center"/>
      <protection locked="0" hidden="1"/>
    </xf>
    <xf numFmtId="169" fontId="3" fillId="3" borderId="0" xfId="1" applyNumberFormat="1" applyFont="1" applyFill="1" applyAlignment="1" applyProtection="1">
      <alignment horizontal="right" vertical="center"/>
      <protection locked="0" hidden="1"/>
    </xf>
    <xf numFmtId="168" fontId="3" fillId="3" borderId="0" xfId="1" applyNumberFormat="1" applyFont="1" applyFill="1" applyAlignment="1" applyProtection="1">
      <alignment horizontal="right" vertical="center"/>
      <protection locked="0" hidden="1"/>
    </xf>
    <xf numFmtId="170" fontId="4" fillId="6" borderId="0" xfId="0" applyNumberFormat="1" applyFont="1" applyFill="1" applyAlignment="1" applyProtection="1">
      <alignment vertical="center"/>
      <protection locked="0" hidden="1"/>
    </xf>
    <xf numFmtId="165" fontId="4" fillId="6" borderId="0" xfId="0" applyNumberFormat="1" applyFont="1" applyFill="1" applyAlignment="1" applyProtection="1">
      <alignment vertical="center"/>
      <protection locked="0" hidden="1"/>
    </xf>
    <xf numFmtId="3" fontId="4" fillId="6" borderId="0" xfId="0" applyNumberFormat="1" applyFont="1" applyFill="1" applyAlignment="1" applyProtection="1">
      <alignment vertical="center" wrapText="1"/>
      <protection locked="0" hidden="1"/>
    </xf>
    <xf numFmtId="167" fontId="4" fillId="6" borderId="0" xfId="0" applyNumberFormat="1" applyFont="1" applyFill="1" applyAlignment="1" applyProtection="1">
      <alignment vertical="center"/>
      <protection locked="0" hidden="1"/>
    </xf>
    <xf numFmtId="0" fontId="0" fillId="9" borderId="0" xfId="0" applyFill="1" applyProtection="1">
      <protection locked="0"/>
    </xf>
    <xf numFmtId="0" fontId="0" fillId="10" borderId="0" xfId="0" applyFill="1" applyProtection="1">
      <protection locked="0"/>
    </xf>
    <xf numFmtId="0" fontId="0" fillId="6" borderId="0" xfId="0" applyFill="1" applyProtection="1">
      <protection locked="0"/>
    </xf>
    <xf numFmtId="0" fontId="9" fillId="6" borderId="0" xfId="0" applyFont="1" applyFill="1" applyAlignment="1" applyProtection="1">
      <alignment horizontal="right" wrapText="1"/>
      <protection hidden="1"/>
    </xf>
    <xf numFmtId="0" fontId="7" fillId="6" borderId="0" xfId="0" applyFont="1" applyFill="1" applyAlignment="1" applyProtection="1">
      <alignment horizontal="right" wrapText="1"/>
      <protection hidden="1"/>
    </xf>
    <xf numFmtId="0" fontId="0" fillId="6" borderId="1" xfId="0" applyFill="1" applyBorder="1" applyProtection="1">
      <protection hidden="1"/>
    </xf>
    <xf numFmtId="0" fontId="15" fillId="6" borderId="1" xfId="0" applyFont="1" applyFill="1" applyBorder="1" applyAlignment="1" applyProtection="1">
      <alignment horizontal="right" wrapText="1"/>
      <protection hidden="1"/>
    </xf>
    <xf numFmtId="0" fontId="16" fillId="6" borderId="1" xfId="0" applyFont="1" applyFill="1" applyBorder="1" applyAlignment="1" applyProtection="1">
      <alignment horizontal="right" wrapText="1"/>
      <protection hidden="1"/>
    </xf>
    <xf numFmtId="0" fontId="8" fillId="2" borderId="2" xfId="0" applyFont="1" applyFill="1" applyBorder="1" applyAlignment="1" applyProtection="1">
      <alignment horizontal="right" vertical="center"/>
      <protection hidden="1"/>
    </xf>
    <xf numFmtId="172" fontId="8" fillId="2" borderId="2" xfId="1" applyNumberFormat="1" applyFont="1" applyFill="1" applyBorder="1" applyAlignment="1" applyProtection="1">
      <alignment horizontal="right" vertical="center"/>
      <protection hidden="1"/>
    </xf>
    <xf numFmtId="168" fontId="8" fillId="2" borderId="2" xfId="1" applyNumberFormat="1" applyFont="1" applyFill="1" applyBorder="1" applyAlignment="1" applyProtection="1">
      <alignment horizontal="right" vertical="center"/>
      <protection hidden="1"/>
    </xf>
    <xf numFmtId="165" fontId="8" fillId="8" borderId="2" xfId="0" applyNumberFormat="1" applyFont="1" applyFill="1" applyBorder="1" applyAlignment="1" applyProtection="1">
      <alignment vertical="center"/>
      <protection hidden="1"/>
    </xf>
    <xf numFmtId="3" fontId="8" fillId="8" borderId="2" xfId="0" applyNumberFormat="1" applyFont="1" applyFill="1" applyBorder="1" applyAlignment="1" applyProtection="1">
      <alignment vertical="center" wrapText="1"/>
      <protection hidden="1"/>
    </xf>
    <xf numFmtId="167" fontId="8" fillId="8" borderId="2" xfId="0" applyNumberFormat="1" applyFont="1" applyFill="1" applyBorder="1" applyAlignment="1" applyProtection="1">
      <alignment vertical="center"/>
      <protection hidden="1"/>
    </xf>
    <xf numFmtId="0" fontId="0" fillId="6" borderId="0" xfId="0" applyFill="1" applyAlignment="1" applyProtection="1">
      <alignment horizontal="right" vertical="center"/>
      <protection hidden="1"/>
    </xf>
    <xf numFmtId="172" fontId="0" fillId="6" borderId="0" xfId="1" applyNumberFormat="1" applyFont="1" applyFill="1" applyAlignment="1" applyProtection="1">
      <alignment vertical="center"/>
      <protection hidden="1"/>
    </xf>
    <xf numFmtId="0" fontId="0" fillId="6" borderId="0" xfId="0" applyFill="1" applyAlignment="1" applyProtection="1">
      <alignment vertical="center"/>
      <protection hidden="1"/>
    </xf>
    <xf numFmtId="171" fontId="0" fillId="6" borderId="0" xfId="0" applyNumberFormat="1" applyFill="1" applyAlignment="1" applyProtection="1">
      <alignment vertical="center"/>
      <protection hidden="1"/>
    </xf>
    <xf numFmtId="165" fontId="0" fillId="6" borderId="0" xfId="0" applyNumberFormat="1" applyFill="1" applyAlignment="1" applyProtection="1">
      <alignment vertical="center"/>
      <protection hidden="1"/>
    </xf>
    <xf numFmtId="3" fontId="0" fillId="6" borderId="0" xfId="0" applyNumberFormat="1" applyFill="1" applyAlignment="1" applyProtection="1">
      <alignment vertical="center"/>
      <protection hidden="1"/>
    </xf>
    <xf numFmtId="167" fontId="0" fillId="6" borderId="0" xfId="0" applyNumberFormat="1" applyFill="1" applyAlignment="1" applyProtection="1">
      <alignment vertical="center"/>
      <protection hidden="1"/>
    </xf>
    <xf numFmtId="3" fontId="0" fillId="6" borderId="0" xfId="0" applyNumberFormat="1" applyFill="1" applyAlignment="1" applyProtection="1">
      <alignment horizontal="right" vertical="center"/>
      <protection hidden="1"/>
    </xf>
    <xf numFmtId="167" fontId="0" fillId="6" borderId="0" xfId="0" applyNumberFormat="1" applyFill="1" applyAlignment="1" applyProtection="1">
      <alignment horizontal="right" vertical="center"/>
      <protection hidden="1"/>
    </xf>
    <xf numFmtId="0" fontId="15" fillId="6" borderId="1" xfId="0" applyFont="1" applyFill="1" applyBorder="1" applyAlignment="1">
      <alignment horizontal="right" wrapText="1"/>
    </xf>
    <xf numFmtId="172" fontId="6" fillId="7" borderId="1" xfId="1" applyNumberFormat="1" applyFont="1" applyFill="1" applyBorder="1" applyAlignment="1">
      <alignment horizontal="right" vertical="center"/>
    </xf>
    <xf numFmtId="165" fontId="6" fillId="7" borderId="2" xfId="0" applyNumberFormat="1" applyFont="1" applyFill="1" applyBorder="1" applyAlignment="1">
      <alignment horizontal="right" vertical="center"/>
    </xf>
    <xf numFmtId="0" fontId="11" fillId="6" borderId="0" xfId="0" applyFont="1" applyFill="1" applyAlignment="1">
      <alignment horizontal="left" vertical="top" wrapText="1"/>
    </xf>
  </cellXfs>
  <cellStyles count="2">
    <cellStyle name="Comma" xfId="1" builtinId="3"/>
    <cellStyle name="Normal" xfId="0" builtinId="0"/>
  </cellStyles>
  <dxfs count="320">
    <dxf>
      <numFmt numFmtId="3" formatCode="#,##0"/>
      <fill>
        <patternFill patternType="solid">
          <fgColor indexed="64"/>
          <bgColor theme="5" tint="0.39997558519241921"/>
        </patternFill>
      </fill>
    </dxf>
    <dxf>
      <font>
        <b/>
        <i val="0"/>
        <strike val="0"/>
        <condense val="0"/>
        <extend val="0"/>
        <outline val="0"/>
        <shadow val="0"/>
        <u val="none"/>
        <vertAlign val="baseline"/>
        <sz val="11"/>
        <color theme="1"/>
        <name val="Lato"/>
        <family val="2"/>
        <scheme val="minor"/>
      </font>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6" formatCode="#,##0_ ;\-#,##0\ "/>
      <fill>
        <patternFill patternType="solid">
          <fgColor indexed="64"/>
          <bgColor theme="5" tint="0.39997558519241921"/>
        </patternFill>
      </fill>
    </dxf>
    <dxf>
      <numFmt numFmtId="164" formatCode="[$£-809]#,##0;\-[$£-809]#,##0"/>
    </dxf>
    <dxf>
      <numFmt numFmtId="165" formatCode="&quot;£&quot;#,##0"/>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3" formatCode="#,##0"/>
      <fill>
        <patternFill patternType="solid">
          <fgColor indexed="64"/>
          <bgColor rgb="FFFFFF00"/>
        </patternFill>
      </fill>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 formatCode="0"/>
    </dxf>
    <dxf>
      <font>
        <b/>
      </font>
      <numFmt numFmtId="3" formatCode="#,##0"/>
      <fill>
        <patternFill patternType="solid">
          <fgColor indexed="64"/>
          <bgColor theme="5" tint="0.39997558519241921"/>
        </patternFill>
      </fill>
    </dxf>
    <dxf>
      <font>
        <b/>
      </font>
      <numFmt numFmtId="164" formatCode="[$£-809]#,##0;\-[$£-809]#,##0"/>
      <fill>
        <patternFill patternType="solid">
          <fgColor indexed="64"/>
          <bgColor theme="5" tint="0.39997558519241921"/>
        </patternFill>
      </fill>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164" formatCode="[$£-809]#,##0;\-[$£-809]#,##0"/>
    </dxf>
    <dxf>
      <numFmt numFmtId="164" formatCode="[$£-809]#,##0;\-[$£-809]#,##0"/>
    </dxf>
    <dxf>
      <numFmt numFmtId="164" formatCode="[$£-809]#,##0;\-[$£-809]#,##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164" formatCode="[$£-809]#,##0;\-[$£-809]#,##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3" formatCode="#,##0"/>
      <fill>
        <patternFill patternType="solid">
          <fgColor indexed="64"/>
          <bgColor theme="5" tint="0.39997558519241921"/>
        </patternFill>
      </fill>
    </dxf>
    <dxf>
      <numFmt numFmtId="164" formatCode="[$£-809]#,##0;\-[$£-809]#,##0"/>
    </dxf>
    <dxf>
      <numFmt numFmtId="165" formatCode="&quot;£&quot;#,##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Scroll" dx="39" fmlaLink="$A$6" max="14" min="1" page="10"/>
</file>

<file path=xl/ctrlProps/ctrlProp2.xml><?xml version="1.0" encoding="utf-8"?>
<formControlPr xmlns="http://schemas.microsoft.com/office/spreadsheetml/2009/9/main" objectType="Scroll" dx="39" fmlaLink="$F$5" max="44" min="1" page="10" val="13"/>
</file>

<file path=xl/drawings/drawing1.xml><?xml version="1.0" encoding="utf-8"?>
<xdr:wsDr xmlns:xdr="http://schemas.openxmlformats.org/drawingml/2006/spreadsheetDrawing" xmlns:a="http://schemas.openxmlformats.org/drawingml/2006/main">
  <xdr:twoCellAnchor editAs="absolute">
    <xdr:from>
      <xdr:col>11</xdr:col>
      <xdr:colOff>104776</xdr:colOff>
      <xdr:row>7</xdr:row>
      <xdr:rowOff>66674</xdr:rowOff>
    </xdr:from>
    <xdr:to>
      <xdr:col>14</xdr:col>
      <xdr:colOff>1038225</xdr:colOff>
      <xdr:row>15</xdr:row>
      <xdr:rowOff>352425</xdr:rowOff>
    </xdr:to>
    <mc:AlternateContent xmlns:mc="http://schemas.openxmlformats.org/markup-compatibility/2006" xmlns:sle15="http://schemas.microsoft.com/office/drawing/2012/slicer">
      <mc:Choice Requires="sle15">
        <xdr:graphicFrame macro="">
          <xdr:nvGraphicFramePr>
            <xdr:cNvPr id="2" name="Funding Organisation">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Funding Organisation"/>
            </a:graphicData>
          </a:graphic>
        </xdr:graphicFrame>
      </mc:Choice>
      <mc:Fallback xmlns="">
        <xdr:sp macro="" textlink="">
          <xdr:nvSpPr>
            <xdr:cNvPr id="0" name=""/>
            <xdr:cNvSpPr>
              <a:spLocks noTextEdit="1"/>
            </xdr:cNvSpPr>
          </xdr:nvSpPr>
          <xdr:spPr>
            <a:xfrm>
              <a:off x="104776" y="2247899"/>
              <a:ext cx="2343150" cy="3038477"/>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11</xdr:col>
      <xdr:colOff>114300</xdr:colOff>
      <xdr:row>3</xdr:row>
      <xdr:rowOff>9524</xdr:rowOff>
    </xdr:from>
    <xdr:to>
      <xdr:col>14</xdr:col>
      <xdr:colOff>1038224</xdr:colOff>
      <xdr:row>6</xdr:row>
      <xdr:rowOff>333375</xdr:rowOff>
    </xdr:to>
    <mc:AlternateContent xmlns:mc="http://schemas.openxmlformats.org/markup-compatibility/2006">
      <mc:Choice xmlns:sle15="http://schemas.microsoft.com/office/drawing/2012/slicer" Requires="sle15">
        <xdr:graphicFrame macro="">
          <xdr:nvGraphicFramePr>
            <xdr:cNvPr id="3" name="Type of funder 1">
              <a:extLst>
                <a:ext uri="{FF2B5EF4-FFF2-40B4-BE49-F238E27FC236}">
                  <a16:creationId xmlns:a16="http://schemas.microsoft.com/office/drawing/2014/main" id="{00000000-0008-0000-0000-000003000000}"/>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Type of funder 1"/>
            </a:graphicData>
          </a:graphic>
        </xdr:graphicFrame>
      </mc:Choice>
      <mc:Fallback>
        <xdr:sp macro="" textlink="">
          <xdr:nvSpPr>
            <xdr:cNvPr id="0" name=""/>
            <xdr:cNvSpPr>
              <a:spLocks noTextEdit="1"/>
            </xdr:cNvSpPr>
          </xdr:nvSpPr>
          <xdr:spPr>
            <a:xfrm>
              <a:off x="114300" y="914399"/>
              <a:ext cx="2419349" cy="1209676"/>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15</xdr:col>
          <xdr:colOff>276225</xdr:colOff>
          <xdr:row>5</xdr:row>
          <xdr:rowOff>19050</xdr:rowOff>
        </xdr:from>
        <xdr:to>
          <xdr:col>15</xdr:col>
          <xdr:colOff>533400</xdr:colOff>
          <xdr:row>15</xdr:row>
          <xdr:rowOff>352425</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7</xdr:col>
      <xdr:colOff>142874</xdr:colOff>
      <xdr:row>3</xdr:row>
      <xdr:rowOff>133352</xdr:rowOff>
    </xdr:from>
    <xdr:to>
      <xdr:col>9</xdr:col>
      <xdr:colOff>428626</xdr:colOff>
      <xdr:row>15</xdr:row>
      <xdr:rowOff>357187</xdr:rowOff>
    </xdr:to>
    <mc:AlternateContent xmlns:mc="http://schemas.openxmlformats.org/markup-compatibility/2006">
      <mc:Choice xmlns:sle15="http://schemas.microsoft.com/office/drawing/2012/slicer" Requires="sle15">
        <xdr:graphicFrame macro="">
          <xdr:nvGraphicFramePr>
            <xdr:cNvPr id="4" name="Local Authority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Local Authority 1"/>
            </a:graphicData>
          </a:graphic>
        </xdr:graphicFrame>
      </mc:Choice>
      <mc:Fallback>
        <xdr:sp macro="" textlink="">
          <xdr:nvSpPr>
            <xdr:cNvPr id="0" name=""/>
            <xdr:cNvSpPr>
              <a:spLocks noTextEdit="1"/>
            </xdr:cNvSpPr>
          </xdr:nvSpPr>
          <xdr:spPr>
            <a:xfrm>
              <a:off x="295274" y="971552"/>
              <a:ext cx="1905002" cy="447198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9</xdr:col>
          <xdr:colOff>647700</xdr:colOff>
          <xdr:row>5</xdr:row>
          <xdr:rowOff>133350</xdr:rowOff>
        </xdr:from>
        <xdr:to>
          <xdr:col>9</xdr:col>
          <xdr:colOff>952500</xdr:colOff>
          <xdr:row>16</xdr:row>
          <xdr:rowOff>19050</xdr:rowOff>
        </xdr:to>
        <xdr:sp macro="" textlink="">
          <xdr:nvSpPr>
            <xdr:cNvPr id="5121" name="Scroll Bar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95250</xdr:colOff>
      <xdr:row>26</xdr:row>
      <xdr:rowOff>200025</xdr:rowOff>
    </xdr:from>
    <xdr:to>
      <xdr:col>1</xdr:col>
      <xdr:colOff>0</xdr:colOff>
      <xdr:row>37</xdr:row>
      <xdr:rowOff>209550</xdr:rowOff>
    </xdr:to>
    <mc:AlternateContent xmlns:mc="http://schemas.openxmlformats.org/markup-compatibility/2006" xmlns:sle15="http://schemas.microsoft.com/office/drawing/2012/slicer">
      <mc:Choice Requires="sle15">
        <xdr:graphicFrame macro="">
          <xdr:nvGraphicFramePr>
            <xdr:cNvPr id="2" name="Row Labels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microsoft.com/office/drawing/2010/slicer">
              <sle:slicer xmlns:sle="http://schemas.microsoft.com/office/drawing/2010/slicer" name="Row Labels 2"/>
            </a:graphicData>
          </a:graphic>
        </xdr:graphicFrame>
      </mc:Choice>
      <mc:Fallback xmlns="">
        <xdr:sp macro="" textlink="">
          <xdr:nvSpPr>
            <xdr:cNvPr id="0" name=""/>
            <xdr:cNvSpPr>
              <a:spLocks noTextEdit="1"/>
            </xdr:cNvSpPr>
          </xdr:nvSpPr>
          <xdr:spPr>
            <a:xfrm>
              <a:off x="95250" y="6143625"/>
              <a:ext cx="18669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95248</xdr:colOff>
      <xdr:row>3</xdr:row>
      <xdr:rowOff>171449</xdr:rowOff>
    </xdr:from>
    <xdr:to>
      <xdr:col>4</xdr:col>
      <xdr:colOff>685798</xdr:colOff>
      <xdr:row>16</xdr:row>
      <xdr:rowOff>104774</xdr:rowOff>
    </xdr:to>
    <mc:AlternateContent xmlns:mc="http://schemas.openxmlformats.org/markup-compatibility/2006">
      <mc:Choice xmlns:sle15="http://schemas.microsoft.com/office/drawing/2012/slicer" Requires="sle15">
        <xdr:graphicFrame macro="">
          <xdr:nvGraphicFramePr>
            <xdr:cNvPr id="3" name="Row Labels">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microsoft.com/office/drawing/2010/slicer">
              <sle:slicer xmlns:sle="http://schemas.microsoft.com/office/drawing/2010/slicer" name="Row Labels"/>
            </a:graphicData>
          </a:graphic>
        </xdr:graphicFrame>
      </mc:Choice>
      <mc:Fallback>
        <xdr:sp macro="" textlink="">
          <xdr:nvSpPr>
            <xdr:cNvPr id="0" name=""/>
            <xdr:cNvSpPr>
              <a:spLocks noTextEdit="1"/>
            </xdr:cNvSpPr>
          </xdr:nvSpPr>
          <xdr:spPr>
            <a:xfrm>
              <a:off x="4705348" y="723899"/>
              <a:ext cx="1819275" cy="24098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45</xdr:col>
      <xdr:colOff>133349</xdr:colOff>
      <xdr:row>1</xdr:row>
      <xdr:rowOff>47625</xdr:rowOff>
    </xdr:from>
    <xdr:to>
      <xdr:col>46</xdr:col>
      <xdr:colOff>723899</xdr:colOff>
      <xdr:row>18</xdr:row>
      <xdr:rowOff>152400</xdr:rowOff>
    </xdr:to>
    <mc:AlternateContent xmlns:mc="http://schemas.openxmlformats.org/markup-compatibility/2006" xmlns:sle15="http://schemas.microsoft.com/office/drawing/2012/slicer">
      <mc:Choice Requires="sle15">
        <xdr:graphicFrame macro="">
          <xdr:nvGraphicFramePr>
            <xdr:cNvPr id="2" name="Type of funder">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microsoft.com/office/drawing/2010/slicer">
              <sle:slicer xmlns:sle="http://schemas.microsoft.com/office/drawing/2010/slicer" name="Type of funder"/>
            </a:graphicData>
          </a:graphic>
        </xdr:graphicFrame>
      </mc:Choice>
      <mc:Fallback xmlns="">
        <xdr:sp macro="" textlink="">
          <xdr:nvSpPr>
            <xdr:cNvPr id="0" name=""/>
            <xdr:cNvSpPr>
              <a:spLocks noTextEdit="1"/>
            </xdr:cNvSpPr>
          </xdr:nvSpPr>
          <xdr:spPr>
            <a:xfrm>
              <a:off x="56026050" y="228600"/>
              <a:ext cx="1905000" cy="33051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w_Labels" xr10:uid="{83DCB82D-FFD7-4E75-AF04-289906219406}" sourceName="Row Labels">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funder" xr10:uid="{19DDF8F8-E5F0-4613-A1B7-D1B86810DDEE}" sourceName="Type of funder">
  <extLst>
    <x:ext xmlns:x15="http://schemas.microsoft.com/office/spreadsheetml/2010/11/main" uri="{2F2917AC-EB37-4324-AD4E-5DD8C200BD13}">
      <x15:tableSlicerCache tableId="1" column="27"/>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w_Labels1" xr10:uid="{B1C5D8DF-911F-444B-BCF8-48E24664D097}" sourceName="Row Labels">
  <extLst>
    <x:ext xmlns:x15="http://schemas.microsoft.com/office/spreadsheetml/2010/11/main" uri="{2F2917AC-EB37-4324-AD4E-5DD8C200BD13}">
      <x15:tableSlicerCache tableId="2" column="1"/>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unding Organisation" xr10:uid="{69A687D7-6D9D-4F4D-B580-403F93BBB0E5}" cache="Slicer_Row_Labels" caption="Funding Organisation" rowHeight="241300"/>
  <slicer name="Type of funder 1" xr10:uid="{972E56DA-7E39-47EC-A4DE-738058A80967}" cache="Slicer_Type_of_funder" caption="Type of funder"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ocal Authority 1" xr10:uid="{16C791E8-7B1A-4828-9875-8B5C440B87C4}" cache="Slicer_Row_Labels1" caption="Local Authority" startItem="6" style="SlicerStyleLight2"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ow Labels 2" xr10:uid="{44410A05-ACFB-496D-BD75-72D422040E16}" cache="Slicer_Row_Labels1" caption="Row Labels"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ow Labels" xr10:uid="{165192AF-DF96-49AA-BA3B-E2C79E8C8A9F}" cache="Slicer_Row_Labels" caption="Row Labels" startItem="8" rowHeight="241300"/>
  <slicer name="Type of funder" xr10:uid="{9ED0C863-908E-407F-BB6E-7C30C2A777AB}" cache="Slicer_Type_of_funder" caption="Type of funde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2AD87A2-E767-4651-931F-D263CECE48B7}" name="Table2" displayName="Table2" ref="A1:DG26" totalsRowCount="1">
  <autoFilter ref="A1:DG25" xr:uid="{BC88B3DF-1C37-4012-A322-2830EE0864DB}"/>
  <tableColumns count="111">
    <tableColumn id="1" xr3:uid="{EC7F935C-EAA6-4ABD-A040-84CE79D60596}" name="Row Labels" totalsRowLabel="Total"/>
    <tableColumn id="2" xr3:uid="{944C9EBA-028B-47E6-9A9F-625991EB0249}" name="Total Number of Awards" totalsRowFunction="sum" dataDxfId="319" totalsRowDxfId="159"/>
    <tableColumn id="3" xr3:uid="{2005C938-E8DD-4D9A-9521-02EAFA97378F}" name="AB Charitable Trust" totalsRowFunction="sum" dataDxfId="318" totalsRowDxfId="158"/>
    <tableColumn id="4" xr3:uid="{B1A4EEB5-554A-4E62-9810-A29B8E453ECC}" name="Allen Lane Foundation" totalsRowFunction="sum" dataDxfId="317" totalsRowDxfId="157"/>
    <tableColumn id="5" xr3:uid="{95F48958-3F8A-4B86-804D-E275B97F4E88}" name="Arts Council" totalsRowFunction="sum" dataDxfId="316" totalsRowDxfId="156"/>
    <tableColumn id="6" xr3:uid="{29F32162-F2A2-495E-BC36-1446EF266000}" name="Barrow Cadbury Trust" totalsRowFunction="sum" dataDxfId="315" totalsRowDxfId="155"/>
    <tableColumn id="7" xr3:uid="{B512DEA0-E4E3-4813-8667-0FF17A089DB0}" name="BBC Children in Need" totalsRowFunction="sum" dataDxfId="314" totalsRowDxfId="154"/>
    <tableColumn id="8" xr3:uid="{D69EFE28-1C17-4FA1-BDA2-1606893486D2}" name="Comic Relief" totalsRowFunction="sum" dataDxfId="313" totalsRowDxfId="153"/>
    <tableColumn id="9" xr3:uid="{D5177BB7-3FD6-48F5-800F-76AA50E16B7F}" name="Cooperative Group" totalsRowFunction="sum" dataDxfId="312" totalsRowDxfId="152"/>
    <tableColumn id="10" xr3:uid="{B44E96A7-9239-4936-9F99-B997999C86F1}" name="Esmée Fairbairn Foundation" totalsRowFunction="sum" dataDxfId="311" totalsRowDxfId="151"/>
    <tableColumn id="11" xr3:uid="{D09FB961-9CAD-406E-9477-D1390C55A222}" name="Indigo Trust " totalsRowFunction="sum" dataDxfId="310" totalsRowDxfId="150"/>
    <tableColumn id="12" xr3:uid="{476B9C7B-5988-4037-81BD-6F75A0EB4A4B}" name="LandAid" totalsRowFunction="sum" dataDxfId="309" totalsRowDxfId="149"/>
    <tableColumn id="13" xr3:uid="{F9A15519-0BA2-4361-BEA7-829BCBEADF34}" name="Leeds Building Society Foundation" totalsRowFunction="sum" dataDxfId="308" totalsRowDxfId="148"/>
    <tableColumn id="14" xr3:uid="{B4440E4E-3716-46DC-B54C-93B7AFDD1669}" name="Leeds Community Foundation" totalsRowFunction="sum" dataDxfId="307" totalsRowDxfId="147"/>
    <tableColumn id="15" xr3:uid="{C38C3B47-5A19-48A3-BEAA-A959D6AAC001}" name="Lloyds Bank Foundation" totalsRowFunction="sum" dataDxfId="306" totalsRowDxfId="146"/>
    <tableColumn id="16" xr3:uid="{8175BD1E-4E15-4FEA-B9A0-F20648EC1899}" name="Masonic Charitable Foundation" totalsRowFunction="sum" dataDxfId="305" totalsRowDxfId="145"/>
    <tableColumn id="17" xr3:uid="{2C86C735-8AD6-464D-A87A-4AA696067C6B}" name="Metis Trust " totalsRowFunction="sum" dataDxfId="304" totalsRowDxfId="144"/>
    <tableColumn id="18" xr3:uid="{705AE732-BBAC-4959-8CE5-33A3997F5711}" name="Mollie Croysdale Charitable Trust" totalsRowFunction="sum" dataDxfId="303" totalsRowDxfId="143"/>
    <tableColumn id="19" xr3:uid="{B6DB1751-7937-432F-8310-F73A4BFB7384}" name="National Churches Trust" totalsRowFunction="sum" dataDxfId="302" totalsRowDxfId="142"/>
    <tableColumn id="20" xr3:uid="{40DE3060-579F-4DFD-9831-5A301F89781D}" name="National Lottery Community Fund" totalsRowFunction="sum" dataDxfId="301" totalsRowDxfId="141"/>
    <tableColumn id="21" xr3:uid="{F9A9854A-8B25-4939-AD2D-1E8D549BC0C3}" name="National Lottery Heritage Fund" totalsRowFunction="sum" dataDxfId="300" totalsRowDxfId="140"/>
    <tableColumn id="22" xr3:uid="{69E5AB01-2320-4F9D-8403-CD99EF3CE5E2}" name="Nationwide Foundation" totalsRowFunction="sum" dataDxfId="299" totalsRowDxfId="139"/>
    <tableColumn id="23" xr3:uid="{5830E08E-2602-456B-A7B3-4759EDDF034F}" name="NESTA" totalsRowFunction="sum" dataDxfId="298" totalsRowDxfId="138"/>
    <tableColumn id="24" xr3:uid="{E1D0199F-CE05-4AC2-BE3A-0AB6EDADB92B}" name="Paul Hamlyn Foundation" totalsRowFunction="sum" dataDxfId="297" totalsRowDxfId="137"/>
    <tableColumn id="25" xr3:uid="{8B29F103-CC20-4E06-A7DF-300488D1A0FB}" name="Pears Foundation" totalsRowFunction="sum" dataDxfId="296" totalsRowDxfId="136"/>
    <tableColumn id="26" xr3:uid="{872F092E-F128-447C-8483-8940E2B26883}" name="Power to Change" totalsRowFunction="sum" dataDxfId="295" totalsRowDxfId="135"/>
    <tableColumn id="27" xr3:uid="{ED941A9A-3CB5-40EF-AA12-08DC44A030A6}" name="R S Macdonald Charitable Trust" totalsRowFunction="sum" dataDxfId="294" totalsRowDxfId="134"/>
    <tableColumn id="28" xr3:uid="{7E031AC3-E794-4C2A-9D7C-69C9F63D9D9A}" name="Liz &amp; Terry Bramall Foundation" totalsRowFunction="sum" dataDxfId="293" totalsRowDxfId="133"/>
    <tableColumn id="29" xr3:uid="{1CC6BDE0-F67D-4AA3-A587-8ED7AA37F95B}" name="Scurrah Wainwright Charity" totalsRowFunction="sum" dataDxfId="292" totalsRowDxfId="132"/>
    <tableColumn id="30" xr3:uid="{356D229E-5C20-4FEC-9F5B-FA0365B2F77D}" name="Seafarers UK" totalsRowFunction="sum" dataDxfId="291" totalsRowDxfId="131"/>
    <tableColumn id="31" xr3:uid="{00E44B95-8B90-4D4E-ABB7-005C9E886A7D}" name="Sir George Martin Trust" totalsRowFunction="sum" dataDxfId="290" totalsRowDxfId="130"/>
    <tableColumn id="32" xr3:uid="{C2D85D1C-CEBA-4231-86B0-961DCCE1AA48}" name="South Yorkshire's Community Foundation" totalsRowFunction="sum" dataDxfId="289" totalsRowDxfId="129"/>
    <tableColumn id="33" xr3:uid="{31AF7D4A-FF52-4310-8D7D-3BC97AC2017E}" name="Sport England" totalsRowFunction="sum" dataDxfId="288" totalsRowDxfId="128"/>
    <tableColumn id="34" xr3:uid="{0FD4C2CA-038B-4AE8-847F-54C6F68D3527}" name="Charles &amp; Elsie Sykes Trust" totalsRowFunction="sum" dataDxfId="287" totalsRowDxfId="127"/>
    <tableColumn id="35" xr3:uid="{E6DC25BF-E71F-4887-AE91-3E559D90A907}" name="Tarn Moor Estate" totalsRowFunction="sum" dataDxfId="286" totalsRowDxfId="126"/>
    <tableColumn id="36" xr3:uid="{96FA549F-DBDD-41B3-9058-F5CBA358D3FE}" name="The Brelms Trust " totalsRowFunction="sum" dataDxfId="285" totalsRowDxfId="125"/>
    <tableColumn id="37" xr3:uid="{E799574F-01A9-4B5D-A61E-FA280FBC6387}" name="The Clothworkers Foundation" totalsRowFunction="sum" dataDxfId="284" totalsRowDxfId="124"/>
    <tableColumn id="38" xr3:uid="{96352E97-A46B-46C6-ABBC-0EE5A0523A20}" name="The Craven Trust and the Beamsley Trust" totalsRowFunction="sum" dataDxfId="283" totalsRowDxfId="123"/>
    <tableColumn id="39" xr3:uid="{159B714C-570D-4083-9754-A093A9D57F7C}" name="The Dulverton Trust" totalsRowFunction="sum" dataDxfId="282" totalsRowDxfId="122"/>
    <tableColumn id="40" xr3:uid="{C259EEF2-6E9D-4865-BC23-05C599225C30}" name="The HBJ Trust" totalsRowFunction="sum" dataDxfId="281" totalsRowDxfId="121"/>
    <tableColumn id="41" xr3:uid="{93B8E39C-DBE0-49AF-933F-DAF179D150FA}" name="The Henry Smith Charity" totalsRowFunction="sum" dataDxfId="280" totalsRowDxfId="120"/>
    <tableColumn id="42" xr3:uid="{14EC99A9-30FA-486E-83CE-CC3FBDB055F3}" name="The Jospeh Rank Trust" totalsRowFunction="sum" dataDxfId="279" totalsRowDxfId="119"/>
    <tableColumn id="43" xr3:uid="{56A979B5-F418-4065-8569-6AE1048184FB}" name="The Talbot Trusts" totalsRowFunction="sum" dataDxfId="278" totalsRowDxfId="118"/>
    <tableColumn id="44" xr3:uid="{4A43CC7D-6285-4C95-9A86-25398735DCAA}" name="The Tudor Trust" totalsRowFunction="sum" dataDxfId="277" totalsRowDxfId="117"/>
    <tableColumn id="45" xr3:uid="{5B3504AD-7A59-48B1-92B8-937EC22498BC}" name="The Wharfedale Foundation" totalsRowFunction="sum" dataDxfId="276" totalsRowDxfId="116"/>
    <tableColumn id="46" xr3:uid="{A45A7CF9-36C7-43A6-A7B2-FD9B840A5797}" name="Wolfson Foundation" totalsRowFunction="sum" dataDxfId="275" totalsRowDxfId="115"/>
    <tableColumn id="47" xr3:uid="{534ECE20-28A9-4AC1-88A4-35167567AECC}" name="Woodward Charitable Trust" totalsRowFunction="sum" dataDxfId="274" totalsRowDxfId="114"/>
    <tableColumn id="48" xr3:uid="{B8EC8E2C-EDD3-4BAE-97C3-3915A933B0A3}" name="Garfield Weston Foundation" totalsRowFunction="sum" dataDxfId="273" totalsRowDxfId="113"/>
    <tableColumn id="49" xr3:uid="{E97DA15D-660B-48E1-B11D-B3A8811417D3}" name="Lankelly Chase Foundation" totalsRowFunction="sum" dataDxfId="272" totalsRowDxfId="112"/>
    <tableColumn id="50" xr3:uid="{11DFEA10-060A-47A4-92C8-ACA4B4ECDED6}" name="Samworth Foundation" totalsRowFunction="sum" dataDxfId="271" totalsRowDxfId="111"/>
    <tableColumn id="51" xr3:uid="{14A99768-9AF7-44A3-87D1-D6A2A3CFFB20}" name="Tedworth Charitable Trust" totalsRowFunction="sum" dataDxfId="270" totalsRowDxfId="110"/>
    <tableColumn id="52" xr3:uid="{54B8CA41-0940-438E-A7DE-10C51F1C17C8}" name="Three Guineas Trust" totalsRowFunction="sum" dataDxfId="269" totalsRowDxfId="109"/>
    <tableColumn id="53" xr3:uid="{A22E9011-1BA8-4E6E-B844-5C20B64A1E8B}" name="Tuixen Foundation" totalsRowFunction="sum" dataDxfId="268" totalsRowDxfId="108"/>
    <tableColumn id="54" xr3:uid="{181D5949-50CF-4EA1-B984-4E796E4047B3}" name="True Colours Trust" totalsRowFunction="sum" dataDxfId="267" totalsRowDxfId="107"/>
    <tableColumn id="55" xr3:uid="{8CCDE1AE-1583-4AA0-8FAA-95780CEC7DB8}" name="Joseph Rowntree Foundation" totalsRowFunction="sum" dataDxfId="266" totalsRowDxfId="106"/>
    <tableColumn id="56" xr3:uid="{DE992F82-7544-4771-851D-9A5760FFCE59}" name="Two Ridings Community Foundation" totalsRowFunction="sum" dataDxfId="265" totalsRowDxfId="105"/>
    <tableColumn id="59" xr3:uid="{E445BB0E-BFF1-4B25-A44D-5CBD2D51C0E4}" name="AB Charitable Trust2" totalsRowFunction="sum" dataDxfId="264" totalsRowDxfId="104"/>
    <tableColumn id="60" xr3:uid="{26E23FD3-63A3-430D-A089-8F12A91F7CBF}" name="Allen Lane Foundation3" totalsRowFunction="sum" dataDxfId="263" totalsRowDxfId="103"/>
    <tableColumn id="61" xr3:uid="{444A8BEA-7E15-4771-A3DF-1A0DD84ECE97}" name="Arts Council4" totalsRowFunction="sum" dataDxfId="262" totalsRowDxfId="102"/>
    <tableColumn id="62" xr3:uid="{A4D82879-39D2-4F32-9F48-F82CA079DB0E}" name="Barrow Cadbury Trust5" totalsRowFunction="sum" dataDxfId="261" totalsRowDxfId="101"/>
    <tableColumn id="63" xr3:uid="{1AD83092-8A01-49FF-A6DE-9910007CF7A2}" name="BBC Children in Need6" totalsRowFunction="sum" dataDxfId="260" totalsRowDxfId="100"/>
    <tableColumn id="64" xr3:uid="{41112AC3-E52D-4971-B118-86433AF10FC9}" name="Comic Relief7" totalsRowFunction="sum" dataDxfId="259" totalsRowDxfId="99"/>
    <tableColumn id="65" xr3:uid="{4D125B74-B463-41CC-967F-905367C8B9DF}" name="Cooperative Group8" totalsRowFunction="sum" dataDxfId="258" totalsRowDxfId="98"/>
    <tableColumn id="66" xr3:uid="{23E170CC-C9B5-4A72-BB27-99D12254F48C}" name="Esmée Fairbairn Foundation9" totalsRowFunction="sum" dataDxfId="257" totalsRowDxfId="97"/>
    <tableColumn id="67" xr3:uid="{CD922AFD-E28F-452D-AD47-45A68C740588}" name="Indigo Trust 10" totalsRowFunction="sum" dataDxfId="256" totalsRowDxfId="96"/>
    <tableColumn id="68" xr3:uid="{B0A4D92F-74BF-4278-B62A-02DDE028F2C5}" name="LandAid11" totalsRowFunction="sum" dataDxfId="255" totalsRowDxfId="95"/>
    <tableColumn id="69" xr3:uid="{D4BC6BFC-EDBC-454F-B8D5-73383BB2D5B7}" name="LBS Foundation12" totalsRowFunction="sum" dataDxfId="254" totalsRowDxfId="94"/>
    <tableColumn id="70" xr3:uid="{AAA87459-59CA-4960-B646-385AECD694BC}" name="Leeds Community Foundation13" totalsRowFunction="sum" dataDxfId="253" totalsRowDxfId="93"/>
    <tableColumn id="71" xr3:uid="{4A09DDA1-B318-4B6F-975A-FAC64CDDE058}" name="Lloyds Bank Foundation14" totalsRowFunction="sum" dataDxfId="252" totalsRowDxfId="92"/>
    <tableColumn id="72" xr3:uid="{DE03AA35-2D35-4539-83ED-5200E972C632}" name="Masonic Charitable Foundation15" totalsRowFunction="sum" dataDxfId="251" totalsRowDxfId="91"/>
    <tableColumn id="73" xr3:uid="{62012E55-53BD-4872-A072-1C9320BD2767}" name="Metis Trust 16" totalsRowFunction="sum" dataDxfId="250" totalsRowDxfId="90"/>
    <tableColumn id="74" xr3:uid="{11DBC333-1FED-4EAE-B2B2-A7AAC3ADF1D1}" name="Mollie Croysdale Charitable Trust17" totalsRowFunction="sum" dataDxfId="249" totalsRowDxfId="89"/>
    <tableColumn id="75" xr3:uid="{A235B8FA-2D3A-4866-A33C-9703D3736F39}" name="National Churches Trust18" totalsRowFunction="sum" dataDxfId="248" totalsRowDxfId="88"/>
    <tableColumn id="76" xr3:uid="{C1AA8BAF-812B-40D0-8105-210357EE7156}" name="National Lottery Community Fund19" totalsRowFunction="sum" dataDxfId="247" totalsRowDxfId="87"/>
    <tableColumn id="77" xr3:uid="{CEBF9B13-BB25-4237-A355-68BA0FD0A053}" name="National Lottery Heritage Fund20" totalsRowFunction="sum" dataDxfId="246" totalsRowDxfId="86"/>
    <tableColumn id="78" xr3:uid="{C042A84F-0EE8-43CE-BC03-4B12989B0204}" name="Nationwide Foundation21" totalsRowFunction="sum" dataDxfId="245" totalsRowDxfId="85"/>
    <tableColumn id="79" xr3:uid="{B8DE72B5-8BBA-4FC8-9DC3-EB068E06A247}" name="NESTA22" totalsRowFunction="sum" dataDxfId="244" totalsRowDxfId="84"/>
    <tableColumn id="80" xr3:uid="{B4DDB4C6-DC35-4CC4-9A24-D8EE60684F77}" name="Paul Hamlyn Foundation23" totalsRowFunction="sum" dataDxfId="243" totalsRowDxfId="83"/>
    <tableColumn id="81" xr3:uid="{AC95E55B-1499-445F-9FCE-E06DF2755543}" name="Pears Foundation24" totalsRowFunction="sum" dataDxfId="242" totalsRowDxfId="82"/>
    <tableColumn id="82" xr3:uid="{1DABD491-1F5D-413F-817B-0BC2EFBBE35B}" name="Power to Change25" totalsRowFunction="sum" dataDxfId="241" totalsRowDxfId="81"/>
    <tableColumn id="83" xr3:uid="{CBD89660-7547-4A82-B37D-61F7CCE84C71}" name="R S Macdonald Charitable Trust26" totalsRowFunction="sum" dataDxfId="240" totalsRowDxfId="80"/>
    <tableColumn id="84" xr3:uid="{7D916932-D491-41AD-A929-CA8931D19F9A}" name="Rawhorts27" totalsRowFunction="sum" dataDxfId="239" totalsRowDxfId="79"/>
    <tableColumn id="85" xr3:uid="{D2263F38-5736-45D3-A3ED-55CB655C7B75}" name="Scurrah Wainwright Charity28" totalsRowFunction="sum" dataDxfId="238" totalsRowDxfId="78"/>
    <tableColumn id="86" xr3:uid="{92902B24-B125-4273-9599-C8B08B92DBA3}" name="Seafarers UK29" totalsRowFunction="sum" dataDxfId="237" totalsRowDxfId="77"/>
    <tableColumn id="87" xr3:uid="{D27919DA-D410-4148-839B-CEE2744CB094}" name="Sir George Martin Trust30" totalsRowFunction="sum" dataDxfId="236" totalsRowDxfId="76"/>
    <tableColumn id="88" xr3:uid="{7C581A30-D504-4F79-97AC-8011BDAD4784}" name="South Yorkshire Community Fund31" totalsRowFunction="sum" dataDxfId="235" totalsRowDxfId="75"/>
    <tableColumn id="89" xr3:uid="{C421E658-1B0E-49A6-BFF1-8A0235931338}" name="Sport England32" totalsRowFunction="sum" dataDxfId="234" totalsRowDxfId="74"/>
    <tableColumn id="90" xr3:uid="{BD6AE861-FAAE-4AD6-AA78-4D4B1678C138}" name="Sykes Trust33" totalsRowFunction="sum" dataDxfId="233" totalsRowDxfId="73"/>
    <tableColumn id="91" xr3:uid="{CFB4A605-5991-4F68-896C-5B9F65218471}" name="Tarn Moor Estate34" totalsRowFunction="sum" dataDxfId="232" totalsRowDxfId="72"/>
    <tableColumn id="92" xr3:uid="{3FE0DD1D-F09D-4F48-AF26-31DDF47BB9E3}" name="The Brelms Trust 35" totalsRowFunction="sum" dataDxfId="231" totalsRowDxfId="71"/>
    <tableColumn id="93" xr3:uid="{02CE2A7A-EA03-458B-A950-DFF007177081}" name="The Clothworkers Foundation36" totalsRowFunction="sum" dataDxfId="230" totalsRowDxfId="70"/>
    <tableColumn id="94" xr3:uid="{B273A7FB-9E16-4E49-AEB0-E9928811DDFD}" name="The Craven Trust and the Beamsley Trust37" totalsRowFunction="sum" dataDxfId="229" totalsRowDxfId="69"/>
    <tableColumn id="95" xr3:uid="{8276D659-A71A-4EBF-AFF3-D8B5462C7268}" name="The Dulverton Trust38" totalsRowFunction="sum" dataDxfId="228" totalsRowDxfId="68"/>
    <tableColumn id="96" xr3:uid="{0E6D9945-7B1B-4787-B231-2DEE53AD20C9}" name="The HBJ Trust39" totalsRowFunction="sum" dataDxfId="227" totalsRowDxfId="67"/>
    <tableColumn id="97" xr3:uid="{55A083BA-A61B-486C-B813-6DE4E1C387D0}" name="The Henry Smith Charity40" totalsRowFunction="sum" dataDxfId="226" totalsRowDxfId="66"/>
    <tableColumn id="98" xr3:uid="{A806C991-168E-45F8-80E6-93235AE911E2}" name="The Jospeh Rank Trust41" totalsRowFunction="sum" dataDxfId="225" totalsRowDxfId="65"/>
    <tableColumn id="99" xr3:uid="{49F2A1F3-2E08-48D2-A052-8C435DB8E2A9}" name="The Talbot Trusts42" totalsRowFunction="sum" dataDxfId="224" totalsRowDxfId="64"/>
    <tableColumn id="100" xr3:uid="{E2D643A0-A41F-4FE0-8E09-14BA26FEBA20}" name="The Tudor Trust43" totalsRowFunction="sum" dataDxfId="223" totalsRowDxfId="63"/>
    <tableColumn id="101" xr3:uid="{84377109-5294-459E-9FFF-D541A9DF3838}" name="The Wharfedale Foundation44" totalsRowFunction="sum" dataDxfId="222" totalsRowDxfId="62"/>
    <tableColumn id="102" xr3:uid="{015644B2-FB79-4DA9-82FE-2AEACF03AAD8}" name="Wolfson Foundation45" totalsRowFunction="sum" dataDxfId="221" totalsRowDxfId="61"/>
    <tableColumn id="103" xr3:uid="{2489E3BB-C676-40A8-A16E-3187D0FED3FE}" name="Woodward Charitable Trust46" totalsRowFunction="sum" dataDxfId="220" totalsRowDxfId="60"/>
    <tableColumn id="104" xr3:uid="{17441D0B-F915-43AE-A8A6-CC5EEEB05EBB}" name="Garfield Weston Foundation47" totalsRowFunction="sum" dataDxfId="219" totalsRowDxfId="59"/>
    <tableColumn id="105" xr3:uid="{4857D816-3E32-4764-A854-2A1975CA594F}" name="Lankelly Chase Foundation48" totalsRowFunction="sum" dataDxfId="218" totalsRowDxfId="58"/>
    <tableColumn id="106" xr3:uid="{65D97CB2-2DAC-4C33-9D4F-C9FAA0807C37}" name="Samworth Foundation49" totalsRowFunction="sum" dataDxfId="217" totalsRowDxfId="57"/>
    <tableColumn id="107" xr3:uid="{21989040-6603-4E75-B300-FE51B104F530}" name="Tedworth Charitable Trust50" totalsRowFunction="sum" dataDxfId="216" totalsRowDxfId="56"/>
    <tableColumn id="108" xr3:uid="{FCDC6025-1129-4140-802F-29941E2E4151}" name="Three Guineas Trust51" totalsRowFunction="sum" dataDxfId="215" totalsRowDxfId="55"/>
    <tableColumn id="109" xr3:uid="{BF094D9E-416B-4774-B476-3F2FFD828A06}" name="Tuixen Foundation52" totalsRowFunction="sum" dataDxfId="214" totalsRowDxfId="54"/>
    <tableColumn id="110" xr3:uid="{2EDFB41D-DDFF-4EF0-8DC2-278B967B8AA1}" name="True Colours Trust53" totalsRowFunction="sum" dataDxfId="213" totalsRowDxfId="53"/>
    <tableColumn id="111" xr3:uid="{0D39C87C-EBE4-47DD-AE66-1C26C306A4BE}" name="Joseph Rowntree Foundation54" totalsRowFunction="sum" dataDxfId="212" totalsRowDxfId="52"/>
    <tableColumn id="112" xr3:uid="{95065AC5-C96C-42B6-896B-E517ED399C4F}" name="Two Ridings Foundation55" totalsRowFunction="sum" dataDxfId="211" totalsRowDxfId="51"/>
    <tableColumn id="57" xr3:uid="{21C89C5A-8A3C-431C-AD8E-18F6E144516B}" name="Grand Total" totalsRowFunction="sum" dataDxfId="210" totalsRowDxfId="5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32C732-58CA-4AA2-9831-E52D23826F95}" name="Table1" displayName="Table1" ref="A2:AZ57" totalsRowCount="1">
  <autoFilter ref="A2:AZ56" xr:uid="{1BF87912-49CD-42A1-AD86-4604B143F137}"/>
  <tableColumns count="52">
    <tableColumn id="1" xr3:uid="{F6946727-DD98-499C-852E-BACB0FBD9120}" name="Row Labels" totalsRowLabel="Total"/>
    <tableColumn id="27" xr3:uid="{09C89D8E-8193-4FA3-83BA-2DEB36F4E649}" name="Type of funder"/>
    <tableColumn id="2" xr3:uid="{E79F17C8-FAD4-449E-980A-A7A45595D312}" name=" Data missing" totalsRowFunction="sum" dataDxfId="209" totalsRowDxfId="49"/>
    <tableColumn id="57" xr3:uid="{D862763C-54DE-4D78-AF3D-373AFBA262C1}" name="Data Missing Awards" totalsRowFunction="sum" dataDxfId="208" totalsRowDxfId="48"/>
    <tableColumn id="3" xr3:uid="{5D936170-548C-4878-83C2-7DF20FE0B262}" name=" Y&amp;H Region-wide" totalsRowFunction="sum" dataDxfId="207" totalsRowDxfId="47"/>
    <tableColumn id="58" xr3:uid="{5716CB3D-23E5-4412-AB0D-99DB9CFC546E}" name=" Y&amp;H Region-wide Awards" totalsRowFunction="sum" dataDxfId="206" totalsRowDxfId="46"/>
    <tableColumn id="4" xr3:uid="{3E6C14E2-B1FB-43A7-B59F-2C50F87B781F}" name="2 or more Local Authorities" totalsRowFunction="sum" dataDxfId="205" totalsRowDxfId="45"/>
    <tableColumn id="59" xr3:uid="{D1745C29-0ACF-4976-966B-06AD5DB335C3}" name="2 or more Local Authorities Awards" totalsRowFunction="sum" dataDxfId="204" totalsRowDxfId="44"/>
    <tableColumn id="5" xr3:uid="{3F3F50ED-2DC6-4740-848A-E0AF05DE7440}" name="Barnsley" totalsRowFunction="sum" dataDxfId="203" totalsRowDxfId="43"/>
    <tableColumn id="35" xr3:uid="{C05BEBAC-0655-4A6A-A2D2-A1FC18CC8E98}" name="Barnsley Awards" totalsRowFunction="sum" dataDxfId="202" totalsRowDxfId="42"/>
    <tableColumn id="6" xr3:uid="{665CFA80-370A-4BB0-9F35-4F1832958B3D}" name="Bradford" totalsRowFunction="sum" dataDxfId="201" totalsRowDxfId="41"/>
    <tableColumn id="36" xr3:uid="{02AFC05C-3882-45B0-812E-E4B8872F6FDA}" name="Bradford Awards" totalsRowFunction="sum" dataDxfId="200" totalsRowDxfId="40"/>
    <tableColumn id="7" xr3:uid="{99A578CD-C869-43D9-9E22-4F93246F5BB3}" name="Calderdale" totalsRowFunction="sum" dataDxfId="199" totalsRowDxfId="39"/>
    <tableColumn id="37" xr3:uid="{24658034-DBA8-4351-B9A8-234AF6D6B55A}" name="Calderdale Awards" totalsRowFunction="sum" dataDxfId="198" totalsRowDxfId="38"/>
    <tableColumn id="8" xr3:uid="{75CC4897-0FBA-49E1-82C0-1BCA03A9F8F8}" name="Craven" totalsRowFunction="sum" dataDxfId="197" totalsRowDxfId="37"/>
    <tableColumn id="38" xr3:uid="{A6553426-1EBE-49D0-A524-ECDD28046C52}" name="Craven Awards" totalsRowFunction="sum" dataDxfId="196" totalsRowDxfId="36"/>
    <tableColumn id="9" xr3:uid="{A1D9A9C0-7F1E-4BAD-8B1A-3BA6DC1B405B}" name="Doncaster" totalsRowFunction="sum" dataDxfId="195" totalsRowDxfId="35"/>
    <tableColumn id="39" xr3:uid="{CE49748D-17ED-42D4-ABE1-CC2D575EBAB3}" name="Doncaster Awards" totalsRowFunction="sum" dataDxfId="194" totalsRowDxfId="34"/>
    <tableColumn id="10" xr3:uid="{B0FBABFA-B5EF-49F3-8F6B-D1F46CA247A9}" name="East Riding of Yorkshire" totalsRowFunction="sum" dataDxfId="193" totalsRowDxfId="33"/>
    <tableColumn id="40" xr3:uid="{B131431A-9353-4FCE-8365-A0F3F1A08A00}" name="East Riding of Yorkshire Awards" totalsRowFunction="sum" dataDxfId="192" totalsRowDxfId="32"/>
    <tableColumn id="11" xr3:uid="{FAA6E6E9-C0FE-4255-90E3-913D79755D3D}" name="Hambleton" totalsRowFunction="sum" dataDxfId="191" totalsRowDxfId="31"/>
    <tableColumn id="41" xr3:uid="{1E2C6ABB-9A67-4332-8847-F4D8BF72CFEE}" name="Hambleton Awards" totalsRowFunction="sum" dataDxfId="190" totalsRowDxfId="30"/>
    <tableColumn id="12" xr3:uid="{5D5C9CFD-A14F-4520-A0B1-D597A1BFDDDB}" name="Harrogate" totalsRowFunction="sum" dataDxfId="189" totalsRowDxfId="29"/>
    <tableColumn id="42" xr3:uid="{6C00BCC3-3AA9-4386-BD8D-6FBA38C3BF5A}" name="Harrogate Awards" totalsRowFunction="sum" dataDxfId="188" totalsRowDxfId="28"/>
    <tableColumn id="13" xr3:uid="{9C3C4B6E-E68B-48D7-B661-766515409679}" name="Kingston upon Hull, City of" totalsRowFunction="sum" dataDxfId="187" totalsRowDxfId="27"/>
    <tableColumn id="43" xr3:uid="{EED3A07F-B480-4B40-9642-3D8D5379174B}" name="Kingston upon Hull, City of Awards" totalsRowFunction="sum" dataDxfId="186" totalsRowDxfId="26"/>
    <tableColumn id="14" xr3:uid="{8974B131-2E04-4579-86B8-B43959837B8D}" name="Kirklees" totalsRowFunction="sum" dataDxfId="185" totalsRowDxfId="25"/>
    <tableColumn id="44" xr3:uid="{3161B9B5-067D-4E6F-A0C8-D54438A14510}" name="Kirklees Awards" totalsRowFunction="sum" dataDxfId="184" totalsRowDxfId="24"/>
    <tableColumn id="15" xr3:uid="{510083D0-057C-4F16-8AED-774423735950}" name="Leeds" totalsRowFunction="sum" dataDxfId="183" totalsRowDxfId="23"/>
    <tableColumn id="45" xr3:uid="{AFCF2083-F84A-454A-8009-39A6CFB45D2D}" name="Leeds Awards" totalsRowFunction="sum" dataDxfId="182" totalsRowDxfId="22"/>
    <tableColumn id="16" xr3:uid="{55F09957-3B01-4A43-916A-CA1099884EB0}" name="North East Lincolnshire" totalsRowFunction="sum" dataDxfId="181" totalsRowDxfId="21"/>
    <tableColumn id="46" xr3:uid="{9863F3C7-FC1B-487F-BF7B-0F4C40C77457}" name="North East Lincolnshire Awards" totalsRowFunction="sum" dataDxfId="180" totalsRowDxfId="20"/>
    <tableColumn id="17" xr3:uid="{61B9266E-76BA-4617-BE11-A7DA78C4E496}" name="North Lincolnshire" totalsRowFunction="sum" dataDxfId="179" totalsRowDxfId="19"/>
    <tableColumn id="47" xr3:uid="{44FF0BC1-AA18-447F-9385-B4F7623CA546}" name="North Lincolnshire Awards" totalsRowFunction="sum" dataDxfId="178" totalsRowDxfId="18"/>
    <tableColumn id="18" xr3:uid="{3D36ACDF-367F-43BF-A1F0-6DCA192CA875}" name="Richmondshire" totalsRowFunction="sum" dataDxfId="177" totalsRowDxfId="17"/>
    <tableColumn id="48" xr3:uid="{0E0C5169-B2B4-461F-A0F0-37B93E9F88B6}" name="Richmondshire Awards" totalsRowFunction="sum" dataDxfId="176" totalsRowDxfId="16"/>
    <tableColumn id="19" xr3:uid="{DA06CF2C-BFD6-4F02-80C3-68CA9A6961A9}" name="Rotherham" totalsRowFunction="sum" dataDxfId="175" totalsRowDxfId="15"/>
    <tableColumn id="49" xr3:uid="{C00D2881-318E-4D9C-A409-2093F5938197}" name="Rotherham Awards" totalsRowFunction="sum" dataDxfId="174" totalsRowDxfId="14"/>
    <tableColumn id="20" xr3:uid="{D43C8E6F-EA37-4DA6-A5B8-A880FF04F2E2}" name="Ryedale" totalsRowFunction="sum" dataDxfId="173" totalsRowDxfId="13"/>
    <tableColumn id="50" xr3:uid="{A5CF5732-E254-4195-A140-1534C9E8D34B}" name="Ryedale Awards" totalsRowFunction="sum" dataDxfId="172" totalsRowDxfId="12"/>
    <tableColumn id="21" xr3:uid="{B90CAF21-87A2-43FE-8274-16BDA9FF248D}" name="Scarborough" totalsRowFunction="sum" dataDxfId="171" totalsRowDxfId="11"/>
    <tableColumn id="51" xr3:uid="{45F4E2A6-B998-4E95-BB2A-FE0195D5F591}" name="Scarborough Awards" totalsRowFunction="sum" dataDxfId="170" totalsRowDxfId="10"/>
    <tableColumn id="22" xr3:uid="{5EA816EA-13FB-4E66-806B-D5EF3A3F16FB}" name="Selby" totalsRowFunction="sum" dataDxfId="169" totalsRowDxfId="9"/>
    <tableColumn id="52" xr3:uid="{99A1EF60-C392-4D85-A12D-22FFDA22F3D4}" name="Selby Awards" totalsRowFunction="sum" dataDxfId="168" totalsRowDxfId="8"/>
    <tableColumn id="23" xr3:uid="{C3B40996-2403-4C64-9500-3DDD1C105409}" name="Sheffield" totalsRowFunction="sum" dataDxfId="167" totalsRowDxfId="7"/>
    <tableColumn id="53" xr3:uid="{F63104F8-1FEB-4852-BC42-DD1869F38780}" name="Sheffield Awards" totalsRowFunction="sum" dataDxfId="166" totalsRowDxfId="6"/>
    <tableColumn id="24" xr3:uid="{8AAE172C-ED28-460F-AC24-28379531B8FC}" name="Wakefield" totalsRowFunction="sum" dataDxfId="165" totalsRowDxfId="5"/>
    <tableColumn id="54" xr3:uid="{28561490-B955-4EA7-8143-7B78F212DAEC}" name="Wakefield Awards" totalsRowFunction="sum" dataDxfId="164" totalsRowDxfId="4"/>
    <tableColumn id="25" xr3:uid="{FB314D39-F0E2-4CBA-A043-913565D4137A}" name="York" totalsRowFunction="sum" dataDxfId="163" totalsRowDxfId="3"/>
    <tableColumn id="55" xr3:uid="{68512331-6935-4E4C-B861-70620A3148AC}" name="York Awards" totalsRowFunction="sum" dataDxfId="162" totalsRowDxfId="2"/>
    <tableColumn id="56" xr3:uid="{67200CF8-77A2-499A-9982-420D2707260F}" name="Grand Total by Organisation" totalsRowFunction="sum" dataDxfId="161" totalsRowDxfId="1"/>
    <tableColumn id="26" xr3:uid="{E667E888-68EA-43B1-8F29-F494CB90C73D}" name="Total Awards" totalsRowFunction="sum" dataDxfId="160" totalsRowDxfId="0"/>
  </tableColumns>
  <tableStyleInfo name="TableStyleMedium2" showFirstColumn="0" showLastColumn="0" showRowStripes="1" showColumnStripes="0"/>
</table>
</file>

<file path=xl/theme/theme1.xml><?xml version="1.0" encoding="utf-8"?>
<a:theme xmlns:a="http://schemas.openxmlformats.org/drawingml/2006/main" name="Rocket Science default">
  <a:themeElements>
    <a:clrScheme name="Rocket Science default">
      <a:dk1>
        <a:srgbClr val="020122"/>
      </a:dk1>
      <a:lt1>
        <a:srgbClr val="FFFFFF"/>
      </a:lt1>
      <a:dk2>
        <a:srgbClr val="1C3E7A"/>
      </a:dk2>
      <a:lt2>
        <a:srgbClr val="E1E1E1"/>
      </a:lt2>
      <a:accent1>
        <a:srgbClr val="E84237"/>
      </a:accent1>
      <a:accent2>
        <a:srgbClr val="9A4091"/>
      </a:accent2>
      <a:accent3>
        <a:srgbClr val="00A890"/>
      </a:accent3>
      <a:accent4>
        <a:srgbClr val="F3923B"/>
      </a:accent4>
      <a:accent5>
        <a:srgbClr val="1C3E7A"/>
      </a:accent5>
      <a:accent6>
        <a:srgbClr val="000000"/>
      </a:accent6>
      <a:hlink>
        <a:srgbClr val="1C3E7A"/>
      </a:hlink>
      <a:folHlink>
        <a:srgbClr val="9A4091"/>
      </a:folHlink>
    </a:clrScheme>
    <a:fontScheme name="Rocket Science default">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microsoft.com/office/2007/relationships/slicer" Target="../slicers/slicer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46142-458A-4591-AAEA-4F76112FD3CC}">
  <sheetPr codeName="Sheet1">
    <tabColor rgb="FFFF0000"/>
  </sheetPr>
  <dimension ref="A1:AA30"/>
  <sheetViews>
    <sheetView tabSelected="1" topLeftCell="L1" zoomScaleNormal="100" workbookViewId="0">
      <selection activeCell="Z9" sqref="Z9"/>
    </sheetView>
  </sheetViews>
  <sheetFormatPr defaultColWidth="9" defaultRowHeight="29.25" customHeight="1"/>
  <cols>
    <col min="1" max="3" width="0" style="11" hidden="1" customWidth="1"/>
    <col min="4" max="4" width="0" style="14" hidden="1" customWidth="1"/>
    <col min="5" max="11" width="0" style="11" hidden="1" customWidth="1"/>
    <col min="12" max="12" width="1.625" style="11" customWidth="1"/>
    <col min="13" max="14" width="9" style="11"/>
    <col min="15" max="15" width="13.75" style="11" customWidth="1"/>
    <col min="16" max="16" width="9" style="11" customWidth="1"/>
    <col min="17" max="17" width="22.375" style="14" customWidth="1"/>
    <col min="18" max="18" width="9" style="11"/>
    <col min="19" max="19" width="2" style="11" customWidth="1"/>
    <col min="20" max="20" width="20.75" style="11" customWidth="1"/>
    <col min="21" max="21" width="12.375" style="11" customWidth="1"/>
    <col min="22" max="22" width="11.875" style="11" customWidth="1"/>
    <col min="23" max="23" width="3" style="11" customWidth="1"/>
    <col min="24" max="16384" width="9" style="11"/>
  </cols>
  <sheetData>
    <row r="1" spans="1:27" ht="27.4" customHeight="1">
      <c r="A1" s="44"/>
      <c r="B1" s="44"/>
      <c r="C1" s="45"/>
      <c r="D1" s="46"/>
      <c r="E1" s="45"/>
      <c r="F1" s="45"/>
      <c r="G1" s="45"/>
      <c r="H1" s="45"/>
      <c r="I1" s="44"/>
      <c r="J1" s="44"/>
      <c r="K1" s="44"/>
      <c r="L1" s="44"/>
      <c r="M1" s="45" t="s">
        <v>180</v>
      </c>
      <c r="N1" s="44"/>
      <c r="P1" s="44"/>
      <c r="Q1" s="47"/>
      <c r="R1" s="44"/>
      <c r="S1" s="44"/>
      <c r="T1" s="44"/>
      <c r="U1" s="44"/>
      <c r="V1" s="44"/>
      <c r="W1" s="44"/>
      <c r="X1" s="44"/>
      <c r="Y1" s="44"/>
      <c r="Z1" s="44"/>
      <c r="AA1" s="44"/>
    </row>
    <row r="2" spans="1:27" ht="4.5" customHeight="1">
      <c r="A2" s="44"/>
      <c r="B2" s="44"/>
      <c r="C2" s="48"/>
      <c r="D2" s="49"/>
      <c r="E2" s="48"/>
      <c r="F2" s="48"/>
      <c r="G2" s="48"/>
      <c r="H2" s="48"/>
      <c r="I2" s="48"/>
      <c r="J2" s="48"/>
      <c r="K2" s="44"/>
      <c r="L2" s="44"/>
      <c r="M2" s="44"/>
      <c r="N2" s="44"/>
      <c r="O2" s="44"/>
      <c r="P2" s="44"/>
      <c r="Q2" s="47"/>
      <c r="R2" s="44"/>
      <c r="S2" s="44"/>
      <c r="T2" s="44"/>
      <c r="U2" s="44"/>
      <c r="V2" s="44"/>
      <c r="W2" s="44"/>
      <c r="X2" s="44"/>
      <c r="Y2" s="44"/>
      <c r="Z2" s="44"/>
      <c r="AA2" s="44"/>
    </row>
    <row r="3" spans="1:27" ht="39.75" customHeight="1">
      <c r="A3" s="44"/>
      <c r="B3" s="44"/>
      <c r="C3" s="50" t="s">
        <v>112</v>
      </c>
      <c r="D3" s="51" t="s">
        <v>83</v>
      </c>
      <c r="E3" s="51"/>
      <c r="F3" s="51" t="s">
        <v>78</v>
      </c>
      <c r="G3" s="51" t="s">
        <v>84</v>
      </c>
      <c r="H3" s="51" t="s">
        <v>79</v>
      </c>
      <c r="I3" s="51"/>
      <c r="J3" s="51" t="s">
        <v>80</v>
      </c>
      <c r="K3" s="44"/>
      <c r="L3" s="44"/>
      <c r="M3" s="44"/>
      <c r="N3" s="44"/>
      <c r="O3" s="44"/>
      <c r="P3" s="44"/>
      <c r="Q3" s="67" t="s">
        <v>112</v>
      </c>
      <c r="R3" s="68" t="s">
        <v>83</v>
      </c>
      <c r="S3" s="68"/>
      <c r="T3" s="68" t="s">
        <v>172</v>
      </c>
      <c r="U3" s="68" t="s">
        <v>84</v>
      </c>
      <c r="V3" s="68" t="s">
        <v>79</v>
      </c>
      <c r="W3" s="68"/>
      <c r="X3" s="68" t="s">
        <v>80</v>
      </c>
      <c r="Y3" s="44"/>
      <c r="Z3" s="44"/>
      <c r="AA3" s="44"/>
    </row>
    <row r="4" spans="1:27" ht="11.65" customHeight="1">
      <c r="A4" s="44"/>
      <c r="B4" s="44"/>
      <c r="C4" s="50"/>
      <c r="D4" s="51"/>
      <c r="E4" s="51"/>
      <c r="F4" s="51"/>
      <c r="G4" s="51"/>
      <c r="H4" s="51"/>
      <c r="I4" s="51"/>
      <c r="J4" s="51"/>
      <c r="K4" s="44"/>
      <c r="L4" s="44"/>
      <c r="M4" s="44"/>
      <c r="N4" s="44"/>
      <c r="O4" s="44"/>
      <c r="P4" s="44"/>
      <c r="Q4" s="69"/>
      <c r="R4" s="70" t="s">
        <v>174</v>
      </c>
      <c r="S4" s="70"/>
      <c r="T4" s="70" t="s">
        <v>175</v>
      </c>
      <c r="U4" s="70" t="s">
        <v>177</v>
      </c>
      <c r="V4" s="70" t="s">
        <v>176</v>
      </c>
      <c r="W4" s="70"/>
      <c r="X4" s="71" t="s">
        <v>178</v>
      </c>
      <c r="Y4" s="44"/>
      <c r="Z4" s="44"/>
      <c r="AA4" s="44"/>
    </row>
    <row r="5" spans="1:27" ht="29.25" customHeight="1">
      <c r="A5" s="65" t="s">
        <v>167</v>
      </c>
      <c r="B5" s="66"/>
      <c r="C5" s="52" t="s">
        <v>26</v>
      </c>
      <c r="D5" s="53">
        <f>Table1[[#Totals],[Total Awards]]</f>
        <v>9887</v>
      </c>
      <c r="E5" s="53"/>
      <c r="F5" s="54">
        <f>Table1[[#Totals],[Grand Total by Organisation]]</f>
        <v>310686041.22619367</v>
      </c>
      <c r="G5" s="54">
        <f>F5/D5</f>
        <v>31423.691840416068</v>
      </c>
      <c r="H5" s="55">
        <v>5450130</v>
      </c>
      <c r="I5" s="55"/>
      <c r="J5" s="56">
        <f t="shared" ref="J5" si="0">IF(F5="","-",F5/H5)</f>
        <v>57.005253310690506</v>
      </c>
      <c r="K5" s="44"/>
      <c r="L5" s="44"/>
      <c r="M5" s="44"/>
      <c r="N5" s="44"/>
      <c r="O5" s="44"/>
      <c r="P5" s="44"/>
      <c r="Q5" s="72" t="s">
        <v>26</v>
      </c>
      <c r="R5" s="73">
        <f>Table1[[#Totals],[Total Awards]]</f>
        <v>9887</v>
      </c>
      <c r="S5" s="74"/>
      <c r="T5" s="75">
        <f>Table1[[#Totals],[Grand Total by Organisation]]</f>
        <v>310686041.22619367</v>
      </c>
      <c r="U5" s="75">
        <f>T5/R5</f>
        <v>31423.691840416068</v>
      </c>
      <c r="V5" s="76">
        <v>5450130</v>
      </c>
      <c r="W5" s="76"/>
      <c r="X5" s="77">
        <f t="shared" ref="X5" si="1">IF(T5="","-",T5/V5)</f>
        <v>57.005253310690506</v>
      </c>
      <c r="Y5" s="44"/>
      <c r="Z5" s="44"/>
      <c r="AA5" s="44"/>
    </row>
    <row r="6" spans="1:27" ht="29.25" customHeight="1">
      <c r="A6" s="65">
        <v>1</v>
      </c>
      <c r="B6" s="66"/>
      <c r="C6" s="57" t="s">
        <v>15</v>
      </c>
      <c r="D6" s="58">
        <f>'Data table 1'!$AD$57</f>
        <v>2303</v>
      </c>
      <c r="E6" s="59"/>
      <c r="F6" s="60">
        <f>'Data table 1'!$AC$57</f>
        <v>73362650.540239662</v>
      </c>
      <c r="G6" s="61">
        <f t="shared" ref="G6:G29" si="2">IF(D6=0,"",F6/D6)</f>
        <v>31855.254251081053</v>
      </c>
      <c r="H6" s="62">
        <v>784846</v>
      </c>
      <c r="I6" s="62"/>
      <c r="J6" s="63">
        <f t="shared" ref="J6" si="3">IF(F6=0,"",F6/H6)</f>
        <v>93.473943347153025</v>
      </c>
      <c r="K6" s="44"/>
      <c r="L6" s="44"/>
      <c r="M6" s="44"/>
      <c r="N6" s="44"/>
      <c r="O6" s="44"/>
      <c r="P6" s="44"/>
      <c r="Q6" s="78" t="str">
        <f t="shared" ref="Q6:Q16" ca="1" si="4">IFERROR(OFFSET(C5,$A$6,0),"")</f>
        <v>Leeds</v>
      </c>
      <c r="R6" s="79">
        <f t="shared" ref="R6:R16" ca="1" si="5">IFERROR(OFFSET(D5,$A$6,0),"")</f>
        <v>2303</v>
      </c>
      <c r="S6" s="80"/>
      <c r="T6" s="81">
        <f t="shared" ref="T6:T16" ca="1" si="6">IFERROR(OFFSET(F5,$A$6,0),"")</f>
        <v>73362650.540239662</v>
      </c>
      <c r="U6" s="82">
        <f t="shared" ref="U6:U16" ca="1" si="7">IFERROR(OFFSET(G5,$A$6,0),"")</f>
        <v>31855.254251081053</v>
      </c>
      <c r="V6" s="83">
        <f t="shared" ref="V6:V16" ca="1" si="8">IFERROR(OFFSET(H5,$A$6,0),"")</f>
        <v>784846</v>
      </c>
      <c r="W6" s="80"/>
      <c r="X6" s="84">
        <f t="shared" ref="X6:X16" ca="1" si="9">IFERROR(OFFSET(J5,$A$6,0),"")</f>
        <v>93.473943347153025</v>
      </c>
      <c r="Y6" s="44"/>
      <c r="Z6" s="44"/>
      <c r="AA6" s="44"/>
    </row>
    <row r="7" spans="1:27" ht="29.25" customHeight="1">
      <c r="A7" s="44"/>
      <c r="B7" s="44"/>
      <c r="C7" s="57" t="s">
        <v>23</v>
      </c>
      <c r="D7" s="58">
        <f>'Data table 1'!$AT$57</f>
        <v>1119</v>
      </c>
      <c r="E7" s="59"/>
      <c r="F7" s="60">
        <f>'Data table 1'!$AS$57</f>
        <v>43914731.123907156</v>
      </c>
      <c r="G7" s="61">
        <f t="shared" si="2"/>
        <v>39244.621200989415</v>
      </c>
      <c r="H7" s="62">
        <v>577789</v>
      </c>
      <c r="I7" s="62"/>
      <c r="J7" s="63">
        <f>IF(F7=0,"",F7/H7)</f>
        <v>76.004789159896006</v>
      </c>
      <c r="K7" s="44"/>
      <c r="L7" s="44"/>
      <c r="M7" s="44"/>
      <c r="N7" s="44"/>
      <c r="O7" s="44"/>
      <c r="P7" s="44"/>
      <c r="Q7" s="78" t="str">
        <f ca="1">IFERROR(OFFSET(C6,$A$6,0),"")</f>
        <v>Sheffield</v>
      </c>
      <c r="R7" s="79">
        <f t="shared" ca="1" si="5"/>
        <v>1119</v>
      </c>
      <c r="S7" s="80"/>
      <c r="T7" s="81">
        <f ca="1">IFERROR(OFFSET(F6,$A$6,0),"")</f>
        <v>43914731.123907156</v>
      </c>
      <c r="U7" s="82">
        <f t="shared" ca="1" si="7"/>
        <v>39244.621200989415</v>
      </c>
      <c r="V7" s="83">
        <f t="shared" ca="1" si="8"/>
        <v>577789</v>
      </c>
      <c r="W7" s="80"/>
      <c r="X7" s="84">
        <f t="shared" ca="1" si="9"/>
        <v>76.004789159896006</v>
      </c>
      <c r="Y7" s="44"/>
      <c r="Z7" s="44"/>
      <c r="AA7" s="44"/>
    </row>
    <row r="8" spans="1:27" ht="29.25" customHeight="1">
      <c r="A8" s="44"/>
      <c r="B8" s="44"/>
      <c r="C8" s="57" t="s">
        <v>6</v>
      </c>
      <c r="D8" s="58">
        <f>'Data table 1'!$L$57</f>
        <v>1042</v>
      </c>
      <c r="E8" s="59"/>
      <c r="F8" s="60">
        <f>'Data table 1'!$K$57</f>
        <v>31033680.868431911</v>
      </c>
      <c r="G8" s="61">
        <f t="shared" si="2"/>
        <v>29782.803136690894</v>
      </c>
      <c r="H8" s="62">
        <v>534800</v>
      </c>
      <c r="I8" s="62"/>
      <c r="J8" s="63">
        <f t="shared" ref="J8:J26" si="10">IF(F8=0,"",F8/H8)</f>
        <v>58.028573052415688</v>
      </c>
      <c r="K8" s="44"/>
      <c r="L8" s="44"/>
      <c r="M8" s="44"/>
      <c r="N8" s="44"/>
      <c r="O8" s="44"/>
      <c r="P8" s="44"/>
      <c r="Q8" s="78" t="str">
        <f t="shared" ca="1" si="4"/>
        <v>Bradford</v>
      </c>
      <c r="R8" s="79">
        <f t="shared" ca="1" si="5"/>
        <v>1042</v>
      </c>
      <c r="S8" s="80"/>
      <c r="T8" s="81">
        <f t="shared" ca="1" si="6"/>
        <v>31033680.868431911</v>
      </c>
      <c r="U8" s="82">
        <f t="shared" ca="1" si="7"/>
        <v>29782.803136690894</v>
      </c>
      <c r="V8" s="83">
        <f t="shared" ca="1" si="8"/>
        <v>534800</v>
      </c>
      <c r="W8" s="80"/>
      <c r="X8" s="84">
        <f t="shared" ca="1" si="9"/>
        <v>58.028573052415688</v>
      </c>
      <c r="Y8" s="44"/>
      <c r="Z8" s="44"/>
      <c r="AA8" s="44"/>
    </row>
    <row r="9" spans="1:27" ht="29.25" customHeight="1">
      <c r="A9" s="44"/>
      <c r="B9" s="44"/>
      <c r="C9" s="57" t="s">
        <v>13</v>
      </c>
      <c r="D9" s="58">
        <f>'Data table 1'!$Z$57</f>
        <v>505</v>
      </c>
      <c r="E9" s="59"/>
      <c r="F9" s="60">
        <f>'Data table 1'!$Y$57</f>
        <v>22562937.449999999</v>
      </c>
      <c r="G9" s="61">
        <f t="shared" si="2"/>
        <v>44679.084059405941</v>
      </c>
      <c r="H9" s="62">
        <v>260673</v>
      </c>
      <c r="I9" s="62"/>
      <c r="J9" s="63">
        <f t="shared" si="10"/>
        <v>86.556480533081668</v>
      </c>
      <c r="K9" s="44"/>
      <c r="L9" s="44"/>
      <c r="M9" s="44"/>
      <c r="N9" s="44"/>
      <c r="O9" s="44"/>
      <c r="P9" s="44"/>
      <c r="Q9" s="78" t="str">
        <f t="shared" ca="1" si="4"/>
        <v>Kingston upon Hull, City of</v>
      </c>
      <c r="R9" s="79">
        <f t="shared" ca="1" si="5"/>
        <v>505</v>
      </c>
      <c r="S9" s="80"/>
      <c r="T9" s="81">
        <f t="shared" ca="1" si="6"/>
        <v>22562937.449999999</v>
      </c>
      <c r="U9" s="82">
        <f t="shared" ca="1" si="7"/>
        <v>44679.084059405941</v>
      </c>
      <c r="V9" s="83">
        <f t="shared" ca="1" si="8"/>
        <v>260673</v>
      </c>
      <c r="W9" s="80"/>
      <c r="X9" s="84">
        <f t="shared" ca="1" si="9"/>
        <v>86.556480533081668</v>
      </c>
      <c r="Y9" s="44"/>
      <c r="Z9" s="44"/>
      <c r="AA9" s="44"/>
    </row>
    <row r="10" spans="1:27" ht="29.25" customHeight="1">
      <c r="A10" s="44"/>
      <c r="B10" s="44"/>
      <c r="C10" s="57" t="s">
        <v>14</v>
      </c>
      <c r="D10" s="58">
        <f>'Data table 1'!$AB$57</f>
        <v>440</v>
      </c>
      <c r="E10" s="59"/>
      <c r="F10" s="60">
        <f>'Data table 1'!$AA$57</f>
        <v>15242319.240000002</v>
      </c>
      <c r="G10" s="61">
        <f t="shared" si="2"/>
        <v>34641.63463636364</v>
      </c>
      <c r="H10" s="62">
        <v>437145</v>
      </c>
      <c r="I10" s="62"/>
      <c r="J10" s="63">
        <f t="shared" si="10"/>
        <v>34.867879628041045</v>
      </c>
      <c r="K10" s="44"/>
      <c r="L10" s="44"/>
      <c r="M10" s="44"/>
      <c r="N10" s="44"/>
      <c r="O10" s="44"/>
      <c r="P10" s="44"/>
      <c r="Q10" s="78" t="str">
        <f t="shared" ca="1" si="4"/>
        <v>Kirklees</v>
      </c>
      <c r="R10" s="79">
        <f t="shared" ca="1" si="5"/>
        <v>440</v>
      </c>
      <c r="S10" s="80"/>
      <c r="T10" s="81">
        <f t="shared" ca="1" si="6"/>
        <v>15242319.240000002</v>
      </c>
      <c r="U10" s="82">
        <f t="shared" ca="1" si="7"/>
        <v>34641.63463636364</v>
      </c>
      <c r="V10" s="83">
        <f t="shared" ca="1" si="8"/>
        <v>437145</v>
      </c>
      <c r="W10" s="80"/>
      <c r="X10" s="84">
        <f t="shared" ca="1" si="9"/>
        <v>34.867879628041045</v>
      </c>
      <c r="Y10" s="44"/>
      <c r="Z10" s="44"/>
      <c r="AA10" s="44"/>
    </row>
    <row r="11" spans="1:27" ht="29.25" customHeight="1">
      <c r="A11" s="44"/>
      <c r="B11" s="44"/>
      <c r="C11" s="57" t="s">
        <v>12</v>
      </c>
      <c r="D11" s="58">
        <f>'Data table 1'!$X$57</f>
        <v>406</v>
      </c>
      <c r="E11" s="59"/>
      <c r="F11" s="60">
        <f>'Data table 1'!$W$57</f>
        <v>13212534.289999999</v>
      </c>
      <c r="G11" s="61">
        <f t="shared" si="2"/>
        <v>32543.187906403939</v>
      </c>
      <c r="H11" s="62">
        <v>160044</v>
      </c>
      <c r="I11" s="62"/>
      <c r="J11" s="63">
        <f t="shared" si="10"/>
        <v>82.555636512459074</v>
      </c>
      <c r="K11" s="44"/>
      <c r="L11" s="44"/>
      <c r="M11" s="44"/>
      <c r="N11" s="44"/>
      <c r="O11" s="44"/>
      <c r="P11" s="44"/>
      <c r="Q11" s="78" t="str">
        <f t="shared" ca="1" si="4"/>
        <v>Harrogate</v>
      </c>
      <c r="R11" s="79">
        <f t="shared" ca="1" si="5"/>
        <v>406</v>
      </c>
      <c r="S11" s="80"/>
      <c r="T11" s="81">
        <f t="shared" ca="1" si="6"/>
        <v>13212534.289999999</v>
      </c>
      <c r="U11" s="82">
        <f t="shared" ca="1" si="7"/>
        <v>32543.187906403939</v>
      </c>
      <c r="V11" s="83">
        <f t="shared" ca="1" si="8"/>
        <v>160044</v>
      </c>
      <c r="W11" s="80"/>
      <c r="X11" s="84">
        <f t="shared" ca="1" si="9"/>
        <v>82.555636512459074</v>
      </c>
      <c r="Y11" s="44"/>
      <c r="Z11" s="44"/>
      <c r="AA11" s="44"/>
    </row>
    <row r="12" spans="1:27" ht="29.25" customHeight="1">
      <c r="A12" s="44"/>
      <c r="B12" s="44"/>
      <c r="C12" s="57" t="s">
        <v>19</v>
      </c>
      <c r="D12" s="58">
        <f>'Data table 1'!$AL$57</f>
        <v>382</v>
      </c>
      <c r="E12" s="59"/>
      <c r="F12" s="60">
        <f>'Data table 1'!$AK$57</f>
        <v>11833823.470000001</v>
      </c>
      <c r="G12" s="61">
        <f t="shared" si="2"/>
        <v>30978.595471204189</v>
      </c>
      <c r="H12" s="62">
        <v>263375</v>
      </c>
      <c r="I12" s="62"/>
      <c r="J12" s="63">
        <f t="shared" si="10"/>
        <v>44.931460730897015</v>
      </c>
      <c r="K12" s="44"/>
      <c r="L12" s="44"/>
      <c r="M12" s="44"/>
      <c r="N12" s="44"/>
      <c r="O12" s="44"/>
      <c r="P12" s="44"/>
      <c r="Q12" s="78" t="str">
        <f ca="1">IFERROR(OFFSET(C11,$A$6,0),"")</f>
        <v>Rotherham</v>
      </c>
      <c r="R12" s="79">
        <f t="shared" ca="1" si="5"/>
        <v>382</v>
      </c>
      <c r="S12" s="80"/>
      <c r="T12" s="81">
        <f t="shared" ca="1" si="6"/>
        <v>11833823.470000001</v>
      </c>
      <c r="U12" s="82">
        <f t="shared" ca="1" si="7"/>
        <v>30978.595471204189</v>
      </c>
      <c r="V12" s="83">
        <f t="shared" ca="1" si="8"/>
        <v>263375</v>
      </c>
      <c r="W12" s="80"/>
      <c r="X12" s="84">
        <f t="shared" ca="1" si="9"/>
        <v>44.931460730897015</v>
      </c>
      <c r="Y12" s="44"/>
      <c r="Z12" s="44"/>
      <c r="AA12" s="44"/>
    </row>
    <row r="13" spans="1:27" ht="29.25" customHeight="1">
      <c r="A13" s="44"/>
      <c r="B13" s="44"/>
      <c r="C13" s="57" t="s">
        <v>25</v>
      </c>
      <c r="D13" s="58">
        <f>'Data table 1'!$AX$57</f>
        <v>457</v>
      </c>
      <c r="E13" s="59"/>
      <c r="F13" s="60">
        <f>'Data table 1'!$AW$57</f>
        <v>10614934.34</v>
      </c>
      <c r="G13" s="61">
        <f t="shared" si="2"/>
        <v>23227.427439824944</v>
      </c>
      <c r="H13" s="62">
        <v>208163</v>
      </c>
      <c r="I13" s="62"/>
      <c r="J13" s="63">
        <f t="shared" si="10"/>
        <v>50.993377017049141</v>
      </c>
      <c r="K13" s="44"/>
      <c r="L13" s="44"/>
      <c r="M13" s="44"/>
      <c r="N13" s="44"/>
      <c r="O13" s="44"/>
      <c r="P13" s="44"/>
      <c r="Q13" s="78" t="str">
        <f t="shared" ca="1" si="4"/>
        <v>York</v>
      </c>
      <c r="R13" s="79">
        <f t="shared" ca="1" si="5"/>
        <v>457</v>
      </c>
      <c r="S13" s="80"/>
      <c r="T13" s="81">
        <f t="shared" ca="1" si="6"/>
        <v>10614934.34</v>
      </c>
      <c r="U13" s="82">
        <f t="shared" ca="1" si="7"/>
        <v>23227.427439824944</v>
      </c>
      <c r="V13" s="83">
        <f t="shared" ca="1" si="8"/>
        <v>208163</v>
      </c>
      <c r="W13" s="80"/>
      <c r="X13" s="84">
        <f t="shared" ca="1" si="9"/>
        <v>50.993377017049141</v>
      </c>
      <c r="Y13" s="44"/>
      <c r="Z13" s="44"/>
      <c r="AA13" s="44"/>
    </row>
    <row r="14" spans="1:27" ht="29.25" customHeight="1">
      <c r="A14" s="44"/>
      <c r="B14" s="44"/>
      <c r="C14" s="57" t="s">
        <v>9</v>
      </c>
      <c r="D14" s="58">
        <f>'Data table 1'!$R$57</f>
        <v>395</v>
      </c>
      <c r="E14" s="59"/>
      <c r="F14" s="60">
        <f>'Data table 1'!$Q$57</f>
        <v>9787788.790000001</v>
      </c>
      <c r="G14" s="61">
        <f t="shared" si="2"/>
        <v>24779.212126582283</v>
      </c>
      <c r="H14" s="62">
        <v>308940</v>
      </c>
      <c r="I14" s="62"/>
      <c r="J14" s="63">
        <f t="shared" si="10"/>
        <v>31.681843691331654</v>
      </c>
      <c r="K14" s="44"/>
      <c r="L14" s="44"/>
      <c r="M14" s="44"/>
      <c r="N14" s="44"/>
      <c r="O14" s="44"/>
      <c r="P14" s="44"/>
      <c r="Q14" s="78" t="str">
        <f t="shared" ca="1" si="4"/>
        <v>Doncaster</v>
      </c>
      <c r="R14" s="79">
        <f t="shared" ca="1" si="5"/>
        <v>395</v>
      </c>
      <c r="S14" s="80"/>
      <c r="T14" s="81">
        <f t="shared" ca="1" si="6"/>
        <v>9787788.790000001</v>
      </c>
      <c r="U14" s="82">
        <f t="shared" ca="1" si="7"/>
        <v>24779.212126582283</v>
      </c>
      <c r="V14" s="85">
        <f t="shared" ca="1" si="8"/>
        <v>308940</v>
      </c>
      <c r="W14" s="78"/>
      <c r="X14" s="86">
        <f t="shared" ca="1" si="9"/>
        <v>31.681843691331654</v>
      </c>
      <c r="Y14" s="44"/>
      <c r="Z14" s="44"/>
      <c r="AA14" s="44"/>
    </row>
    <row r="15" spans="1:27" ht="29.25" customHeight="1">
      <c r="A15" s="44"/>
      <c r="B15" s="44"/>
      <c r="C15" s="57" t="s">
        <v>10</v>
      </c>
      <c r="D15" s="58">
        <f>'Data table 1'!$T$57</f>
        <v>389</v>
      </c>
      <c r="E15" s="59"/>
      <c r="F15" s="60">
        <f>'Data table 1'!$S$57</f>
        <v>9330906.6899999995</v>
      </c>
      <c r="G15" s="61">
        <f t="shared" si="2"/>
        <v>23986.906658097683</v>
      </c>
      <c r="H15" s="62">
        <v>338061</v>
      </c>
      <c r="I15" s="62"/>
      <c r="J15" s="63">
        <f t="shared" si="10"/>
        <v>27.601251519696149</v>
      </c>
      <c r="K15" s="44"/>
      <c r="L15" s="44"/>
      <c r="M15" s="44"/>
      <c r="N15" s="44"/>
      <c r="O15" s="44"/>
      <c r="P15" s="44"/>
      <c r="Q15" s="78" t="str">
        <f t="shared" ca="1" si="4"/>
        <v>East Riding of Yorkshire</v>
      </c>
      <c r="R15" s="79">
        <f t="shared" ca="1" si="5"/>
        <v>389</v>
      </c>
      <c r="S15" s="80"/>
      <c r="T15" s="81">
        <f t="shared" ca="1" si="6"/>
        <v>9330906.6899999995</v>
      </c>
      <c r="U15" s="82">
        <f t="shared" ca="1" si="7"/>
        <v>23986.906658097683</v>
      </c>
      <c r="V15" s="85">
        <f t="shared" ca="1" si="8"/>
        <v>338061</v>
      </c>
      <c r="W15" s="80"/>
      <c r="X15" s="86">
        <f t="shared" ca="1" si="9"/>
        <v>27.601251519696149</v>
      </c>
      <c r="Y15" s="44"/>
      <c r="Z15" s="44"/>
      <c r="AA15" s="44"/>
    </row>
    <row r="16" spans="1:27" ht="29.25" customHeight="1">
      <c r="A16" s="44"/>
      <c r="B16" s="44"/>
      <c r="C16" s="57" t="s">
        <v>7</v>
      </c>
      <c r="D16" s="58">
        <f>'Data table 1'!$N$57</f>
        <v>271</v>
      </c>
      <c r="E16" s="59"/>
      <c r="F16" s="60">
        <f>'Data table 1'!$M$57</f>
        <v>8983658.4616614152</v>
      </c>
      <c r="G16" s="61">
        <f t="shared" si="2"/>
        <v>33150.03122384286</v>
      </c>
      <c r="H16" s="62">
        <v>209454</v>
      </c>
      <c r="I16" s="62"/>
      <c r="J16" s="63">
        <f t="shared" si="10"/>
        <v>42.890842197625325</v>
      </c>
      <c r="K16" s="44"/>
      <c r="L16" s="44"/>
      <c r="M16" s="44"/>
      <c r="N16" s="44"/>
      <c r="O16" s="44"/>
      <c r="P16" s="44"/>
      <c r="Q16" s="78" t="str">
        <f t="shared" ca="1" si="4"/>
        <v>Calderdale</v>
      </c>
      <c r="R16" s="79">
        <f t="shared" ca="1" si="5"/>
        <v>271</v>
      </c>
      <c r="S16" s="80"/>
      <c r="T16" s="81">
        <f t="shared" ca="1" si="6"/>
        <v>8983658.4616614152</v>
      </c>
      <c r="U16" s="82">
        <f t="shared" ca="1" si="7"/>
        <v>33150.03122384286</v>
      </c>
      <c r="V16" s="85">
        <f t="shared" ca="1" si="8"/>
        <v>209454</v>
      </c>
      <c r="W16" s="80"/>
      <c r="X16" s="86">
        <f t="shared" ca="1" si="9"/>
        <v>42.890842197625325</v>
      </c>
      <c r="Y16" s="44"/>
      <c r="Z16" s="44"/>
      <c r="AA16" s="44"/>
    </row>
    <row r="17" spans="3:24" ht="29.25" customHeight="1">
      <c r="C17" s="15" t="s">
        <v>24</v>
      </c>
      <c r="D17" s="20">
        <f>'Data table 1'!$AV$57</f>
        <v>298</v>
      </c>
      <c r="E17" s="16"/>
      <c r="F17" s="21">
        <f>'Data table 1'!$AU$57</f>
        <v>8249515.8600000003</v>
      </c>
      <c r="G17" s="17">
        <f t="shared" si="2"/>
        <v>27682.93912751678</v>
      </c>
      <c r="H17" s="13">
        <v>340790</v>
      </c>
      <c r="I17" s="13"/>
      <c r="J17" s="19">
        <f t="shared" si="10"/>
        <v>24.207036180639104</v>
      </c>
      <c r="Q17" s="32"/>
      <c r="R17" s="38"/>
      <c r="S17" s="33"/>
      <c r="T17" s="37"/>
      <c r="U17" s="34"/>
      <c r="V17" s="35"/>
      <c r="W17" s="33"/>
      <c r="X17" s="36"/>
    </row>
    <row r="18" spans="3:24" ht="30" customHeight="1">
      <c r="C18" s="15" t="s">
        <v>20</v>
      </c>
      <c r="D18" s="20">
        <f>'Data table 1'!$AN$57</f>
        <v>111</v>
      </c>
      <c r="E18" s="16"/>
      <c r="F18" s="21">
        <f>'Data table 1'!$AM$57</f>
        <v>7708478.3200000003</v>
      </c>
      <c r="G18" s="17">
        <f t="shared" si="2"/>
        <v>69445.750630630631</v>
      </c>
      <c r="H18" s="13">
        <v>54311</v>
      </c>
      <c r="I18" s="13"/>
      <c r="J18" s="19">
        <f t="shared" si="10"/>
        <v>141.93217432932556</v>
      </c>
    </row>
    <row r="19" spans="3:24" ht="29.25" customHeight="1">
      <c r="C19" s="15" t="s">
        <v>16</v>
      </c>
      <c r="D19" s="20">
        <f>'Data table 1'!$AF$57</f>
        <v>185</v>
      </c>
      <c r="E19" s="16"/>
      <c r="F19" s="21">
        <f>'Data table 1'!$AE$57</f>
        <v>7233106.6200000001</v>
      </c>
      <c r="G19" s="17">
        <f t="shared" si="2"/>
        <v>39097.87362162162</v>
      </c>
      <c r="H19" s="13">
        <v>159826</v>
      </c>
      <c r="I19" s="13"/>
      <c r="J19" s="19">
        <f t="shared" si="10"/>
        <v>45.256132419005667</v>
      </c>
    </row>
    <row r="20" spans="3:24" ht="29.25" customHeight="1">
      <c r="C20" s="15" t="s">
        <v>5</v>
      </c>
      <c r="D20" s="20">
        <f>'Data table 1'!$J$57</f>
        <v>297</v>
      </c>
      <c r="E20" s="16"/>
      <c r="F20" s="21">
        <f>'Data table 1'!$I$57</f>
        <v>6781912.2800000003</v>
      </c>
      <c r="G20" s="17">
        <f t="shared" si="2"/>
        <v>22834.721481481483</v>
      </c>
      <c r="H20" s="13">
        <v>243341</v>
      </c>
      <c r="I20" s="13"/>
      <c r="J20" s="19">
        <f t="shared" si="10"/>
        <v>27.869994287851206</v>
      </c>
    </row>
    <row r="21" spans="3:24" ht="29.25" customHeight="1">
      <c r="C21" s="15" t="s">
        <v>21</v>
      </c>
      <c r="D21" s="20">
        <f>'Data table 1'!$AP$57</f>
        <v>210</v>
      </c>
      <c r="E21" s="16"/>
      <c r="F21" s="21">
        <f>'Data table 1'!$AO$57</f>
        <v>5885657.8499999987</v>
      </c>
      <c r="G21" s="17">
        <f t="shared" si="2"/>
        <v>28026.942142857137</v>
      </c>
      <c r="H21" s="13">
        <v>108370</v>
      </c>
      <c r="I21" s="13"/>
      <c r="J21" s="19">
        <f t="shared" si="10"/>
        <v>54.310767278767173</v>
      </c>
    </row>
    <row r="22" spans="3:24" ht="29.25" customHeight="1">
      <c r="C22" s="15" t="s">
        <v>11</v>
      </c>
      <c r="D22" s="20">
        <f>'Data table 1'!$V$57</f>
        <v>178</v>
      </c>
      <c r="E22" s="16"/>
      <c r="F22" s="21">
        <f>'Data table 1'!$U$57</f>
        <v>4408494.4519535834</v>
      </c>
      <c r="G22" s="17">
        <f t="shared" si="2"/>
        <v>24766.822763784177</v>
      </c>
      <c r="H22" s="13">
        <v>90718</v>
      </c>
      <c r="I22" s="13"/>
      <c r="J22" s="19">
        <f t="shared" si="10"/>
        <v>48.595586895143008</v>
      </c>
    </row>
    <row r="23" spans="3:24" ht="29.25" customHeight="1">
      <c r="C23" s="15" t="s">
        <v>17</v>
      </c>
      <c r="D23" s="20">
        <f>'Data table 1'!$AH$57</f>
        <v>107</v>
      </c>
      <c r="E23" s="16"/>
      <c r="F23" s="21">
        <f>'Data table 1'!$AG$57</f>
        <v>3762091.4699999997</v>
      </c>
      <c r="G23" s="17">
        <f t="shared" si="2"/>
        <v>35159.733364485975</v>
      </c>
      <c r="H23" s="13">
        <v>171294</v>
      </c>
      <c r="I23" s="13"/>
      <c r="J23" s="19">
        <f t="shared" si="10"/>
        <v>21.962774352866997</v>
      </c>
    </row>
    <row r="24" spans="3:24" ht="29.25" customHeight="1">
      <c r="C24" s="15" t="s">
        <v>18</v>
      </c>
      <c r="D24" s="20">
        <f>'Data table 1'!$AJ$57</f>
        <v>85</v>
      </c>
      <c r="E24" s="16"/>
      <c r="F24" s="21">
        <f>'Data table 1'!$AI$57</f>
        <v>3404117.29</v>
      </c>
      <c r="G24" s="17">
        <f t="shared" si="2"/>
        <v>40048.438705882356</v>
      </c>
      <c r="H24" s="13">
        <v>53699</v>
      </c>
      <c r="I24" s="13"/>
      <c r="J24" s="19">
        <f t="shared" si="10"/>
        <v>63.392563921115851</v>
      </c>
    </row>
    <row r="25" spans="3:24" ht="29.25" customHeight="1">
      <c r="C25" s="15" t="s">
        <v>22</v>
      </c>
      <c r="D25" s="20">
        <f>'Data table 1'!$AR$57</f>
        <v>85</v>
      </c>
      <c r="E25" s="16"/>
      <c r="F25" s="21">
        <f>'Data table 1'!$AQ$57</f>
        <v>2791382.2800000003</v>
      </c>
      <c r="G25" s="17">
        <f t="shared" si="2"/>
        <v>32839.79152941177</v>
      </c>
      <c r="H25" s="13">
        <v>87887</v>
      </c>
      <c r="I25" s="13"/>
      <c r="J25" s="19">
        <f t="shared" si="10"/>
        <v>31.761037241002654</v>
      </c>
    </row>
    <row r="26" spans="3:24" ht="29.25" customHeight="1">
      <c r="C26" s="15" t="s">
        <v>8</v>
      </c>
      <c r="D26" s="20">
        <f>'Data table 1'!$P$57</f>
        <v>187</v>
      </c>
      <c r="E26" s="16"/>
      <c r="F26" s="21">
        <f>'Data table 1'!$O$57</f>
        <v>2474537.9200000004</v>
      </c>
      <c r="G26" s="17">
        <f t="shared" si="2"/>
        <v>13232.823101604281</v>
      </c>
      <c r="H26" s="13">
        <v>56604</v>
      </c>
      <c r="I26" s="13"/>
      <c r="J26" s="19">
        <f t="shared" si="10"/>
        <v>43.716661720019793</v>
      </c>
    </row>
    <row r="27" spans="3:24" ht="29.25" customHeight="1">
      <c r="C27" s="15" t="s">
        <v>2</v>
      </c>
      <c r="D27" s="20">
        <f>'Data table 1'!$D$57</f>
        <v>215</v>
      </c>
      <c r="E27" s="16"/>
      <c r="F27" s="21">
        <f>'Data table 1'!$C$57</f>
        <v>5258403.62</v>
      </c>
      <c r="G27" s="17">
        <f t="shared" si="2"/>
        <v>24457.691255813956</v>
      </c>
      <c r="H27" s="18" t="s">
        <v>81</v>
      </c>
      <c r="I27" s="18"/>
      <c r="J27" s="18" t="s">
        <v>81</v>
      </c>
    </row>
    <row r="28" spans="3:24" ht="29.25" customHeight="1">
      <c r="C28" s="15" t="s">
        <v>3</v>
      </c>
      <c r="D28" s="20">
        <f>'Data table 1'!$F$57</f>
        <v>113</v>
      </c>
      <c r="E28" s="16"/>
      <c r="F28" s="21">
        <f>'Data table 1'!$E$57</f>
        <v>2166644</v>
      </c>
      <c r="G28" s="17">
        <f t="shared" si="2"/>
        <v>19173.840707964602</v>
      </c>
      <c r="H28" s="18" t="s">
        <v>81</v>
      </c>
      <c r="I28" s="18"/>
      <c r="J28" s="18" t="s">
        <v>81</v>
      </c>
    </row>
    <row r="29" spans="3:24" ht="29.25" customHeight="1">
      <c r="C29" s="15" t="s">
        <v>4</v>
      </c>
      <c r="D29" s="20">
        <f>'Data table 1'!$H$57</f>
        <v>107</v>
      </c>
      <c r="E29" s="16"/>
      <c r="F29" s="21">
        <f>'Data table 1'!$G$57</f>
        <v>681734</v>
      </c>
      <c r="G29" s="17">
        <f t="shared" si="2"/>
        <v>6371.3457943925232</v>
      </c>
      <c r="H29" s="18" t="s">
        <v>81</v>
      </c>
      <c r="I29" s="18"/>
      <c r="J29" s="18" t="s">
        <v>81</v>
      </c>
    </row>
    <row r="30" spans="3:24" ht="29.25" customHeight="1">
      <c r="G30" s="4"/>
    </row>
  </sheetData>
  <sheetProtection algorithmName="SHA-512" hashValue="eylZJWmbcei84RL5X41bgPt/SpeDcGzMY+5jN6DbjSewqp8457d1hMZm1chOKj3mCDSA/678VBWujmUKy5Nliw==" saltValue="QB7e/FfapFge+/tSv8Cr5A==" spinCount="100000" sheet="1" selectLockedCells="1" pivotTables="0"/>
  <protectedRanges>
    <protectedRange sqref="Q5:X16" name="Range1"/>
  </protectedRanges>
  <sortState xmlns:xlrd2="http://schemas.microsoft.com/office/spreadsheetml/2017/richdata2" ref="C6:J26">
    <sortCondition descending="1" ref="F6:F26"/>
  </sortState>
  <conditionalFormatting sqref="J6:J26">
    <cfRule type="dataBar" priority="8">
      <dataBar>
        <cfvo type="min"/>
        <cfvo type="max"/>
        <color theme="0" tint="-0.14999847407452621"/>
      </dataBar>
      <extLst>
        <ext xmlns:x14="http://schemas.microsoft.com/office/spreadsheetml/2009/9/main" uri="{B025F937-C7B1-47D3-B67F-A62EFF666E3E}">
          <x14:id>{78E6339B-5C7D-452D-8A05-D9E20A076DDB}</x14:id>
        </ext>
      </extLst>
    </cfRule>
  </conditionalFormatting>
  <conditionalFormatting sqref="F6:F29">
    <cfRule type="dataBar" priority="6">
      <dataBar>
        <cfvo type="min"/>
        <cfvo type="num" val="$F$5"/>
        <color theme="4" tint="0.39997558519241921"/>
      </dataBar>
      <extLst>
        <ext xmlns:x14="http://schemas.microsoft.com/office/spreadsheetml/2009/9/main" uri="{B025F937-C7B1-47D3-B67F-A62EFF666E3E}">
          <x14:id>{E0AB0F62-8611-4F5B-B8FD-A7A8E50A1239}</x14:id>
        </ext>
      </extLst>
    </cfRule>
  </conditionalFormatting>
  <conditionalFormatting sqref="T5:T17">
    <cfRule type="dataBar" priority="4">
      <dataBar>
        <cfvo type="min"/>
        <cfvo type="max"/>
        <color theme="4" tint="0.39997558519241921"/>
      </dataBar>
      <extLst>
        <ext xmlns:x14="http://schemas.microsoft.com/office/spreadsheetml/2009/9/main" uri="{B025F937-C7B1-47D3-B67F-A62EFF666E3E}">
          <x14:id>{336F9A0C-3B17-467C-9DB1-D83B014DBF0A}</x14:id>
        </ext>
      </extLst>
    </cfRule>
    <cfRule type="dataBar" priority="5">
      <dataBar>
        <cfvo type="min"/>
        <cfvo type="max"/>
        <color theme="4" tint="0.59999389629810485"/>
      </dataBar>
      <extLst>
        <ext xmlns:x14="http://schemas.microsoft.com/office/spreadsheetml/2009/9/main" uri="{B025F937-C7B1-47D3-B67F-A62EFF666E3E}">
          <x14:id>{0127DED7-0C57-4022-8CAA-46B8E9D2E2FE}</x14:id>
        </ext>
      </extLst>
    </cfRule>
  </conditionalFormatting>
  <conditionalFormatting sqref="T5">
    <cfRule type="dataBar" priority="3">
      <dataBar>
        <cfvo type="min"/>
        <cfvo type="max"/>
        <color theme="4"/>
      </dataBar>
      <extLst>
        <ext xmlns:x14="http://schemas.microsoft.com/office/spreadsheetml/2009/9/main" uri="{B025F937-C7B1-47D3-B67F-A62EFF666E3E}">
          <x14:id>{8CA2C4B4-D391-44C6-A911-87692B704582}</x14:id>
        </ext>
      </extLst>
    </cfRule>
  </conditionalFormatting>
  <conditionalFormatting sqref="X5:X17">
    <cfRule type="dataBar" priority="2">
      <dataBar>
        <cfvo type="min"/>
        <cfvo type="formula" val="MAX($J$6:$J$26)"/>
        <color theme="2" tint="-9.9978637043366805E-2"/>
      </dataBar>
      <extLst>
        <ext xmlns:x14="http://schemas.microsoft.com/office/spreadsheetml/2009/9/main" uri="{B025F937-C7B1-47D3-B67F-A62EFF666E3E}">
          <x14:id>{180CD587-B6AC-45FD-854A-DDF755DBF3A2}</x14:id>
        </ext>
      </extLst>
    </cfRule>
  </conditionalFormatting>
  <conditionalFormatting sqref="X5">
    <cfRule type="dataBar" priority="1">
      <dataBar>
        <cfvo type="min"/>
        <cfvo type="max"/>
        <color theme="4"/>
      </dataBar>
      <extLst>
        <ext xmlns:x14="http://schemas.microsoft.com/office/spreadsheetml/2009/9/main" uri="{B025F937-C7B1-47D3-B67F-A62EFF666E3E}">
          <x14:id>{0950F89E-1790-4D53-93BB-42699FE710D5}</x14:id>
        </ext>
      </extLst>
    </cfRule>
  </conditionalFormatting>
  <dataValidations xWindow="645" yWindow="538" count="3">
    <dataValidation allowBlank="1" showInputMessage="1" showErrorMessage="1" prompt="Select the relevant type of funder to show the funding information just for funding organisations within this type." sqref="N6:N7 P6:P7 O6:O7" xr:uid="{17955FA1-044D-43CE-AEC4-245C5350FF46}"/>
    <dataValidation allowBlank="1" showErrorMessage="1" prompt="Select the relevant type of funder to show the funding information just for funding organisations within this type." sqref="P5 O5" xr:uid="{5B553F13-4966-434B-9A74-8C71A74E1EF2}"/>
    <dataValidation allowBlank="1" showErrorMessage="1" prompt="Select a type of funder or an individual funder by clicking on their name in the boxes below. Select more than one by first clicking on the icon with the three ticks; use the icon with the red cross to clear your selection." sqref="P3:P4 O4" xr:uid="{F5C60A8B-F482-4D0B-BC4C-62FE26BE6E77}"/>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croll Bar 1">
              <controlPr locked="0" defaultSize="0" autoPict="0">
                <anchor moveWithCells="1">
                  <from>
                    <xdr:col>15</xdr:col>
                    <xdr:colOff>276225</xdr:colOff>
                    <xdr:row>5</xdr:row>
                    <xdr:rowOff>19050</xdr:rowOff>
                  </from>
                  <to>
                    <xdr:col>15</xdr:col>
                    <xdr:colOff>533400</xdr:colOff>
                    <xdr:row>15</xdr:row>
                    <xdr:rowOff>352425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78E6339B-5C7D-452D-8A05-D9E20A076DDB}">
            <x14:dataBar minLength="0" maxLength="100" gradient="0">
              <x14:cfvo type="autoMin"/>
              <x14:cfvo type="autoMax"/>
              <x14:negativeFillColor rgb="FFFF0000"/>
              <x14:axisColor rgb="FF000000"/>
            </x14:dataBar>
          </x14:cfRule>
          <xm:sqref>J6:J26</xm:sqref>
        </x14:conditionalFormatting>
        <x14:conditionalFormatting xmlns:xm="http://schemas.microsoft.com/office/excel/2006/main">
          <x14:cfRule type="dataBar" id="{E0AB0F62-8611-4F5B-B8FD-A7A8E50A1239}">
            <x14:dataBar minLength="0" maxLength="100" gradient="0">
              <x14:cfvo type="autoMin"/>
              <x14:cfvo type="num">
                <xm:f>$F$5</xm:f>
              </x14:cfvo>
              <x14:negativeFillColor rgb="FFFF0000"/>
              <x14:axisColor rgb="FF000000"/>
            </x14:dataBar>
          </x14:cfRule>
          <xm:sqref>F6:F29</xm:sqref>
        </x14:conditionalFormatting>
        <x14:conditionalFormatting xmlns:xm="http://schemas.microsoft.com/office/excel/2006/main">
          <x14:cfRule type="dataBar" id="{336F9A0C-3B17-467C-9DB1-D83B014DBF0A}">
            <x14:dataBar minLength="0" maxLength="100" gradient="0">
              <x14:cfvo type="autoMin"/>
              <x14:cfvo type="autoMax"/>
              <x14:negativeFillColor rgb="FFFF0000"/>
              <x14:axisColor rgb="FF000000"/>
            </x14:dataBar>
          </x14:cfRule>
          <x14:cfRule type="dataBar" id="{0127DED7-0C57-4022-8CAA-46B8E9D2E2FE}">
            <x14:dataBar minLength="0" maxLength="100" gradient="0">
              <x14:cfvo type="autoMin"/>
              <x14:cfvo type="autoMax"/>
              <x14:negativeFillColor rgb="FFFF0000"/>
              <x14:axisColor rgb="FF000000"/>
            </x14:dataBar>
          </x14:cfRule>
          <xm:sqref>T5:T17</xm:sqref>
        </x14:conditionalFormatting>
        <x14:conditionalFormatting xmlns:xm="http://schemas.microsoft.com/office/excel/2006/main">
          <x14:cfRule type="dataBar" id="{8CA2C4B4-D391-44C6-A911-87692B704582}">
            <x14:dataBar minLength="0" maxLength="100" gradient="0">
              <x14:cfvo type="autoMin"/>
              <x14:cfvo type="autoMax"/>
              <x14:negativeFillColor rgb="FFFF0000"/>
              <x14:axisColor rgb="FF000000"/>
            </x14:dataBar>
          </x14:cfRule>
          <xm:sqref>T5</xm:sqref>
        </x14:conditionalFormatting>
        <x14:conditionalFormatting xmlns:xm="http://schemas.microsoft.com/office/excel/2006/main">
          <x14:cfRule type="dataBar" id="{180CD587-B6AC-45FD-854A-DDF755DBF3A2}">
            <x14:dataBar minLength="0" maxLength="100" gradient="0">
              <x14:cfvo type="autoMin"/>
              <x14:cfvo type="formula">
                <xm:f>MAX($J$6:$J$26)</xm:f>
              </x14:cfvo>
              <x14:negativeFillColor rgb="FFFF0000"/>
              <x14:axisColor rgb="FF000000"/>
            </x14:dataBar>
          </x14:cfRule>
          <xm:sqref>X5:X17</xm:sqref>
        </x14:conditionalFormatting>
        <x14:conditionalFormatting xmlns:xm="http://schemas.microsoft.com/office/excel/2006/main">
          <x14:cfRule type="dataBar" id="{0950F89E-1790-4D53-93BB-42699FE710D5}">
            <x14:dataBar minLength="0" maxLength="100" gradient="0">
              <x14:cfvo type="autoMin"/>
              <x14:cfvo type="autoMax"/>
              <x14:negativeFillColor rgb="FFFF0000"/>
              <x14:axisColor rgb="FF000000"/>
            </x14:dataBar>
          </x14:cfRule>
          <xm:sqref>X5</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AFD5-39CE-49C8-B68C-4B2C60596244}">
  <sheetPr codeName="Sheet2">
    <tabColor theme="5"/>
  </sheetPr>
  <dimension ref="A1:P60"/>
  <sheetViews>
    <sheetView topLeftCell="G1" zoomScaleNormal="100" workbookViewId="0">
      <selection activeCell="I17" sqref="I17"/>
    </sheetView>
  </sheetViews>
  <sheetFormatPr defaultColWidth="18.75" defaultRowHeight="29.25" customHeight="1"/>
  <cols>
    <col min="1" max="1" width="38.5" style="11" hidden="1" customWidth="1"/>
    <col min="2" max="2" width="11" style="11" hidden="1" customWidth="1"/>
    <col min="3" max="3" width="13.75" style="11" hidden="1" customWidth="1"/>
    <col min="4" max="4" width="11.875" style="11" hidden="1" customWidth="1"/>
    <col min="5" max="5" width="4.875" style="11" hidden="1" customWidth="1"/>
    <col min="6" max="6" width="6.125" style="11" hidden="1" customWidth="1"/>
    <col min="7" max="7" width="2" style="11" customWidth="1"/>
    <col min="8" max="8" width="2.5" style="11" customWidth="1"/>
    <col min="9" max="9" width="18.75" style="11"/>
    <col min="10" max="10" width="12.625" style="11" customWidth="1"/>
    <col min="11" max="11" width="35.75" style="11" customWidth="1"/>
    <col min="12" max="12" width="18" style="11" customWidth="1"/>
    <col min="13" max="13" width="3" style="11" customWidth="1"/>
    <col min="14" max="14" width="23.875" style="11" customWidth="1"/>
    <col min="15" max="16384" width="18.75" style="11"/>
  </cols>
  <sheetData>
    <row r="1" spans="1:16" ht="29.25" customHeight="1">
      <c r="I1" s="90" t="s">
        <v>168</v>
      </c>
      <c r="J1" s="90"/>
      <c r="K1" s="90"/>
      <c r="L1" s="90"/>
      <c r="M1" s="90"/>
      <c r="N1" s="90"/>
      <c r="O1" s="90"/>
      <c r="P1" s="28"/>
    </row>
    <row r="2" spans="1:16" ht="12.4" customHeight="1">
      <c r="I2" s="90"/>
      <c r="J2" s="90"/>
      <c r="K2" s="90"/>
      <c r="L2" s="90"/>
      <c r="M2" s="90"/>
      <c r="N2" s="90"/>
      <c r="O2" s="90"/>
    </row>
    <row r="3" spans="1:16" ht="25.15" customHeight="1">
      <c r="A3" s="27" t="s">
        <v>113</v>
      </c>
      <c r="B3" s="27" t="s">
        <v>83</v>
      </c>
      <c r="C3" s="27" t="s">
        <v>78</v>
      </c>
      <c r="D3" s="27" t="s">
        <v>84</v>
      </c>
      <c r="F3" s="64" t="s">
        <v>167</v>
      </c>
      <c r="K3" s="39" t="s">
        <v>113</v>
      </c>
      <c r="L3" s="39" t="s">
        <v>83</v>
      </c>
      <c r="M3" s="39"/>
      <c r="N3" s="39" t="s">
        <v>172</v>
      </c>
      <c r="O3" s="39" t="s">
        <v>84</v>
      </c>
    </row>
    <row r="4" spans="1:16" ht="13.15" customHeight="1">
      <c r="A4" s="27"/>
      <c r="B4" s="27"/>
      <c r="C4" s="27"/>
      <c r="D4" s="39"/>
      <c r="F4" s="64"/>
      <c r="K4" s="27"/>
      <c r="L4" s="87" t="s">
        <v>174</v>
      </c>
      <c r="M4" s="87"/>
      <c r="N4" s="87" t="s">
        <v>175</v>
      </c>
      <c r="O4" s="87" t="s">
        <v>177</v>
      </c>
    </row>
    <row r="5" spans="1:16" ht="29.25" customHeight="1">
      <c r="A5" s="24" t="s">
        <v>26</v>
      </c>
      <c r="B5" s="26">
        <f>SUM(B6:B59)</f>
        <v>9887</v>
      </c>
      <c r="C5" s="25">
        <f>SUM(C6:C59)</f>
        <v>310686041.22619367</v>
      </c>
      <c r="D5" s="29">
        <f>C5/B5</f>
        <v>31423.691840416068</v>
      </c>
      <c r="F5" s="64">
        <v>13</v>
      </c>
      <c r="K5" s="24" t="s">
        <v>26</v>
      </c>
      <c r="L5" s="88">
        <f>SUM((B6:B59))</f>
        <v>9887</v>
      </c>
      <c r="M5" s="88"/>
      <c r="N5" s="25">
        <f>SUM(C6:C59)</f>
        <v>310686041.22619367</v>
      </c>
      <c r="O5" s="89">
        <f>N5/L5</f>
        <v>31423.691840416068</v>
      </c>
    </row>
    <row r="6" spans="1:16" ht="29.25" customHeight="1">
      <c r="A6" s="15" t="s">
        <v>45</v>
      </c>
      <c r="B6" s="22">
        <f>'Data table 2'!$BV$26</f>
        <v>2628</v>
      </c>
      <c r="C6" s="23">
        <f>'Data table 2'!$T$26</f>
        <v>137133897.41999999</v>
      </c>
      <c r="D6" s="30">
        <f t="shared" ref="D6:D59" si="0">C6/B6</f>
        <v>52181.848333333328</v>
      </c>
      <c r="K6" s="40" t="str">
        <f t="shared" ref="K6:K16" ca="1" si="1">OFFSET(A5,$F$5,0)</f>
        <v>Power to Change</v>
      </c>
      <c r="L6" s="41">
        <f t="shared" ref="L6:L16" ca="1" si="2">IFERROR(OFFSET(B5,$F$5,0),"")</f>
        <v>32</v>
      </c>
      <c r="M6" s="41"/>
      <c r="N6" s="42">
        <f t="shared" ref="N6:N16" ca="1" si="3">IFERROR(OFFSET(C5,$F$5,0),"")</f>
        <v>2948402</v>
      </c>
      <c r="O6" s="43">
        <f t="shared" ref="O6:O16" ca="1" si="4">IFERROR(OFFSET(D5,$F$5,0),"")</f>
        <v>92137.5625</v>
      </c>
    </row>
    <row r="7" spans="1:16" ht="29.25" customHeight="1">
      <c r="A7" s="15" t="s">
        <v>46</v>
      </c>
      <c r="B7" s="22">
        <f>'Data table 2'!$BW$26</f>
        <v>289</v>
      </c>
      <c r="C7" s="23">
        <f>'Data table 2'!$U$26</f>
        <v>45588500</v>
      </c>
      <c r="D7" s="30">
        <f t="shared" si="0"/>
        <v>157745.67474048442</v>
      </c>
      <c r="K7" s="40" t="str">
        <f ca="1">OFFSET(A6,$F$5,0)</f>
        <v>Garfield Weston Foundation</v>
      </c>
      <c r="L7" s="41">
        <f t="shared" ca="1" si="2"/>
        <v>136</v>
      </c>
      <c r="M7" s="41"/>
      <c r="N7" s="42">
        <f t="shared" ca="1" si="3"/>
        <v>2624897</v>
      </c>
      <c r="O7" s="43">
        <f t="shared" ca="1" si="4"/>
        <v>19300.713235294119</v>
      </c>
    </row>
    <row r="8" spans="1:16" ht="29.25" customHeight="1">
      <c r="A8" s="15" t="s">
        <v>31</v>
      </c>
      <c r="B8" s="22">
        <f>'Data table 2'!$BG$26</f>
        <v>755</v>
      </c>
      <c r="C8" s="23">
        <f>'Data table 2'!$E$26</f>
        <v>36249772.116193756</v>
      </c>
      <c r="D8" s="30">
        <f t="shared" si="0"/>
        <v>48012.943200256632</v>
      </c>
      <c r="K8" s="40" t="str">
        <f t="shared" ca="1" si="1"/>
        <v>Two Ridings Community Foundation</v>
      </c>
      <c r="L8" s="41">
        <f t="shared" ca="1" si="2"/>
        <v>569</v>
      </c>
      <c r="M8" s="41"/>
      <c r="N8" s="42">
        <f t="shared" ca="1" si="3"/>
        <v>1971871.8900000001</v>
      </c>
      <c r="O8" s="43">
        <f t="shared" ca="1" si="4"/>
        <v>3465.5042003514941</v>
      </c>
    </row>
    <row r="9" spans="1:16" ht="29.25" customHeight="1">
      <c r="A9" s="15" t="s">
        <v>56</v>
      </c>
      <c r="B9" s="22">
        <f>'Data table 2'!$CI$26</f>
        <v>352</v>
      </c>
      <c r="C9" s="23">
        <f>'Data table 2'!$AG$26</f>
        <v>22516461</v>
      </c>
      <c r="D9" s="30">
        <f t="shared" si="0"/>
        <v>63967.21875</v>
      </c>
      <c r="K9" s="40" t="str">
        <f t="shared" ca="1" si="1"/>
        <v>Cooperative Group</v>
      </c>
      <c r="L9" s="41">
        <f t="shared" ca="1" si="2"/>
        <v>818</v>
      </c>
      <c r="M9" s="41"/>
      <c r="N9" s="42">
        <f t="shared" ca="1" si="3"/>
        <v>1910300.3699999996</v>
      </c>
      <c r="O9" s="43">
        <f t="shared" ca="1" si="4"/>
        <v>2335.3305256723711</v>
      </c>
    </row>
    <row r="10" spans="1:16" ht="29.25" customHeight="1">
      <c r="A10" s="15" t="s">
        <v>39</v>
      </c>
      <c r="B10" s="22">
        <f>'Data table 2'!$BP$26</f>
        <v>1479</v>
      </c>
      <c r="C10" s="23">
        <f>'Data table 2'!$N$26</f>
        <v>11311312.019999983</v>
      </c>
      <c r="D10" s="30">
        <f t="shared" si="0"/>
        <v>7647.9459229208805</v>
      </c>
      <c r="K10" s="40" t="str">
        <f t="shared" ca="1" si="1"/>
        <v>South Yorkshire's Community Foundation</v>
      </c>
      <c r="L10" s="41">
        <f t="shared" ca="1" si="2"/>
        <v>544</v>
      </c>
      <c r="M10" s="41"/>
      <c r="N10" s="42">
        <f t="shared" ca="1" si="3"/>
        <v>1564384.69</v>
      </c>
      <c r="O10" s="43">
        <f t="shared" ca="1" si="4"/>
        <v>2875.7071507352939</v>
      </c>
    </row>
    <row r="11" spans="1:16" ht="29.25" customHeight="1">
      <c r="A11" s="15" t="s">
        <v>33</v>
      </c>
      <c r="B11" s="22">
        <f>'Data table 2'!$BI$26</f>
        <v>155</v>
      </c>
      <c r="C11" s="23">
        <f>'Data table 2'!$G$26</f>
        <v>8199255.2999999998</v>
      </c>
      <c r="D11" s="30">
        <f t="shared" si="0"/>
        <v>52898.421290322578</v>
      </c>
      <c r="K11" s="40" t="str">
        <f t="shared" ca="1" si="1"/>
        <v>Paul Hamlyn Foundation</v>
      </c>
      <c r="L11" s="41">
        <f t="shared" ca="1" si="2"/>
        <v>16</v>
      </c>
      <c r="M11" s="41"/>
      <c r="N11" s="42">
        <f t="shared" ca="1" si="3"/>
        <v>1377165</v>
      </c>
      <c r="O11" s="43">
        <f t="shared" ca="1" si="4"/>
        <v>86072.8125</v>
      </c>
    </row>
    <row r="12" spans="1:16" ht="29.25" customHeight="1">
      <c r="A12" s="15" t="s">
        <v>182</v>
      </c>
      <c r="B12" s="22">
        <f>'Data table 2'!$CD$26</f>
        <v>344</v>
      </c>
      <c r="C12" s="23">
        <f>'Data table 2'!$AB$26</f>
        <v>7670178</v>
      </c>
      <c r="D12" s="30">
        <f t="shared" si="0"/>
        <v>22297.029069767443</v>
      </c>
      <c r="K12" s="40" t="str">
        <f t="shared" ca="1" si="1"/>
        <v xml:space="preserve">The Brelms Trust </v>
      </c>
      <c r="L12" s="41">
        <f t="shared" ca="1" si="2"/>
        <v>152</v>
      </c>
      <c r="M12" s="41"/>
      <c r="N12" s="42">
        <f t="shared" ca="1" si="3"/>
        <v>1325179</v>
      </c>
      <c r="O12" s="43">
        <f t="shared" ca="1" si="4"/>
        <v>8718.2828947368416</v>
      </c>
    </row>
    <row r="13" spans="1:16" ht="29.25" customHeight="1">
      <c r="A13" s="15" t="s">
        <v>36</v>
      </c>
      <c r="B13" s="22">
        <f>'Data table 2'!$BL$26</f>
        <v>45</v>
      </c>
      <c r="C13" s="23">
        <f>'Data table 2'!$J$26</f>
        <v>5210970.01</v>
      </c>
      <c r="D13" s="30">
        <f t="shared" si="0"/>
        <v>115799.33355555555</v>
      </c>
      <c r="K13" s="40" t="str">
        <f t="shared" ca="1" si="1"/>
        <v>Lankelly Chase Foundation</v>
      </c>
      <c r="L13" s="41">
        <f t="shared" ca="1" si="2"/>
        <v>9</v>
      </c>
      <c r="M13" s="41"/>
      <c r="N13" s="42">
        <f t="shared" ca="1" si="3"/>
        <v>766358.2</v>
      </c>
      <c r="O13" s="43">
        <f t="shared" ca="1" si="4"/>
        <v>85150.911111111112</v>
      </c>
    </row>
    <row r="14" spans="1:16" ht="29.25" customHeight="1">
      <c r="A14" s="15" t="s">
        <v>65</v>
      </c>
      <c r="B14" s="22">
        <f>'Data table 2'!$CT$26</f>
        <v>86</v>
      </c>
      <c r="C14" s="23">
        <f>'Data table 2'!$AR$26</f>
        <v>4387850</v>
      </c>
      <c r="D14" s="30">
        <f t="shared" si="0"/>
        <v>51021.511627906977</v>
      </c>
      <c r="K14" s="40" t="str">
        <f t="shared" ca="1" si="1"/>
        <v>Charles &amp; Elsie Sykes Trust</v>
      </c>
      <c r="L14" s="41">
        <f t="shared" ca="1" si="2"/>
        <v>212</v>
      </c>
      <c r="M14" s="41"/>
      <c r="N14" s="42">
        <f t="shared" ca="1" si="3"/>
        <v>756975</v>
      </c>
      <c r="O14" s="43">
        <f t="shared" ca="1" si="4"/>
        <v>3570.6367924528304</v>
      </c>
    </row>
    <row r="15" spans="1:16" ht="29.25" customHeight="1">
      <c r="A15" s="15" t="s">
        <v>40</v>
      </c>
      <c r="B15" s="22">
        <f>'Data table 2'!$BQ$26</f>
        <v>97</v>
      </c>
      <c r="C15" s="23">
        <f>'Data table 2'!$O$26</f>
        <v>4343538</v>
      </c>
      <c r="D15" s="30">
        <f t="shared" si="0"/>
        <v>44778.742268041235</v>
      </c>
      <c r="K15" s="40" t="str">
        <f t="shared" ca="1" si="1"/>
        <v>Pears Foundation</v>
      </c>
      <c r="L15" s="41">
        <f t="shared" ca="1" si="2"/>
        <v>4</v>
      </c>
      <c r="M15" s="41"/>
      <c r="N15" s="42">
        <f t="shared" ca="1" si="3"/>
        <v>618725</v>
      </c>
      <c r="O15" s="43">
        <f t="shared" ca="1" si="4"/>
        <v>154681.25</v>
      </c>
    </row>
    <row r="16" spans="1:16" ht="29.25" customHeight="1">
      <c r="A16" s="15" t="s">
        <v>62</v>
      </c>
      <c r="B16" s="22">
        <f>'Data table 2'!$CQ$26</f>
        <v>49</v>
      </c>
      <c r="C16" s="23">
        <f>'Data table 2'!$AO$26</f>
        <v>3110910</v>
      </c>
      <c r="D16" s="30">
        <f t="shared" si="0"/>
        <v>63487.959183673469</v>
      </c>
      <c r="K16" s="40" t="str">
        <f t="shared" ca="1" si="1"/>
        <v>The Clothworkers Foundation</v>
      </c>
      <c r="L16" s="41">
        <f t="shared" ca="1" si="2"/>
        <v>33</v>
      </c>
      <c r="M16" s="41"/>
      <c r="N16" s="42">
        <f t="shared" ca="1" si="3"/>
        <v>604050</v>
      </c>
      <c r="O16" s="43">
        <f t="shared" ca="1" si="4"/>
        <v>18304.545454545456</v>
      </c>
    </row>
    <row r="17" spans="1:15" ht="29.25" customHeight="1">
      <c r="A17" s="15" t="s">
        <v>34</v>
      </c>
      <c r="B17" s="22">
        <f>'Data table 2'!$BJ$26</f>
        <v>32</v>
      </c>
      <c r="C17" s="23">
        <f>'Data table 2'!$H$26</f>
        <v>2983159</v>
      </c>
      <c r="D17" s="30">
        <f t="shared" si="0"/>
        <v>93223.71875</v>
      </c>
      <c r="I17" s="44"/>
      <c r="J17" s="44"/>
      <c r="K17" s="44"/>
      <c r="L17" s="44"/>
      <c r="M17" s="44"/>
      <c r="N17" s="44"/>
      <c r="O17" s="44"/>
    </row>
    <row r="18" spans="1:15" ht="29.25" customHeight="1">
      <c r="A18" s="15" t="s">
        <v>51</v>
      </c>
      <c r="B18" s="22">
        <f>'Data table 2'!$CB$26</f>
        <v>32</v>
      </c>
      <c r="C18" s="23">
        <f>'Data table 2'!$Z$26</f>
        <v>2948402</v>
      </c>
      <c r="D18" s="30">
        <f t="shared" si="0"/>
        <v>92137.5625</v>
      </c>
    </row>
    <row r="19" spans="1:15" ht="29.25" customHeight="1">
      <c r="A19" s="15" t="s">
        <v>69</v>
      </c>
      <c r="B19" s="22">
        <f>'Data table 2'!$CX$26</f>
        <v>136</v>
      </c>
      <c r="C19" s="23">
        <f>'Data table 2'!$AV$26</f>
        <v>2624897</v>
      </c>
      <c r="D19" s="30">
        <f t="shared" si="0"/>
        <v>19300.713235294119</v>
      </c>
    </row>
    <row r="20" spans="1:15" ht="29.25" customHeight="1">
      <c r="A20" s="15" t="s">
        <v>183</v>
      </c>
      <c r="B20" s="22">
        <f>'Data table 2'!$DF$26</f>
        <v>569</v>
      </c>
      <c r="C20" s="23">
        <f>'Data table 2'!$BD$26</f>
        <v>1971871.8900000001</v>
      </c>
      <c r="D20" s="30">
        <f t="shared" si="0"/>
        <v>3465.5042003514941</v>
      </c>
    </row>
    <row r="21" spans="1:15" ht="29.25" customHeight="1">
      <c r="A21" s="15" t="s">
        <v>35</v>
      </c>
      <c r="B21" s="22">
        <f>'Data table 2'!$BK$26</f>
        <v>818</v>
      </c>
      <c r="C21" s="23">
        <f>'Data table 2'!$I$26</f>
        <v>1910300.3699999996</v>
      </c>
      <c r="D21" s="30">
        <f t="shared" si="0"/>
        <v>2335.3305256723711</v>
      </c>
    </row>
    <row r="22" spans="1:15" ht="29.25" customHeight="1">
      <c r="A22" s="15" t="s">
        <v>179</v>
      </c>
      <c r="B22" s="22">
        <f>'Data table 2'!$CH$26</f>
        <v>544</v>
      </c>
      <c r="C22" s="23">
        <f>'Data table 2'!$AF$26</f>
        <v>1564384.69</v>
      </c>
      <c r="D22" s="30">
        <f t="shared" si="0"/>
        <v>2875.7071507352939</v>
      </c>
    </row>
    <row r="23" spans="1:15" ht="29.25" customHeight="1">
      <c r="A23" s="15" t="s">
        <v>49</v>
      </c>
      <c r="B23" s="22">
        <f>'Data table 2'!$BZ$26</f>
        <v>16</v>
      </c>
      <c r="C23" s="23">
        <f>'Data table 2'!$X$26</f>
        <v>1377165</v>
      </c>
      <c r="D23" s="30">
        <f t="shared" si="0"/>
        <v>86072.8125</v>
      </c>
    </row>
    <row r="24" spans="1:15" ht="29.25" customHeight="1">
      <c r="A24" s="15" t="s">
        <v>57</v>
      </c>
      <c r="B24" s="22">
        <f>'Data table 2'!$CL$26</f>
        <v>152</v>
      </c>
      <c r="C24" s="23">
        <f>'Data table 2'!$AJ$26</f>
        <v>1325179</v>
      </c>
      <c r="D24" s="30">
        <f t="shared" si="0"/>
        <v>8718.2828947368416</v>
      </c>
    </row>
    <row r="25" spans="1:15" ht="29.25" customHeight="1">
      <c r="A25" s="15" t="s">
        <v>70</v>
      </c>
      <c r="B25" s="22">
        <f>'Data table 2'!$CY$26</f>
        <v>9</v>
      </c>
      <c r="C25" s="23">
        <f>'Data table 2'!$AW$26</f>
        <v>766358.2</v>
      </c>
      <c r="D25" s="30">
        <f>C25/B25</f>
        <v>85150.911111111112</v>
      </c>
    </row>
    <row r="26" spans="1:15" ht="29.25" customHeight="1">
      <c r="A26" s="15" t="s">
        <v>186</v>
      </c>
      <c r="B26" s="22">
        <f>'Data table 2'!$CJ$26</f>
        <v>212</v>
      </c>
      <c r="C26" s="23">
        <f>'Data table 2'!$AH$26</f>
        <v>756975</v>
      </c>
      <c r="D26" s="30">
        <f>C26/B26</f>
        <v>3570.6367924528304</v>
      </c>
    </row>
    <row r="27" spans="1:15" ht="29.25" customHeight="1">
      <c r="A27" s="15" t="s">
        <v>50</v>
      </c>
      <c r="B27" s="22">
        <f>'Data table 2'!$CA$26</f>
        <v>4</v>
      </c>
      <c r="C27" s="23">
        <f>'Data table 2'!$Y$26</f>
        <v>618725</v>
      </c>
      <c r="D27" s="30">
        <f t="shared" si="0"/>
        <v>154681.25</v>
      </c>
    </row>
    <row r="28" spans="1:15" ht="29.25" customHeight="1">
      <c r="A28" s="15" t="s">
        <v>58</v>
      </c>
      <c r="B28" s="22">
        <f>'Data table 2'!$CM$26</f>
        <v>33</v>
      </c>
      <c r="C28" s="23">
        <f>'Data table 2'!$AK$26</f>
        <v>604050</v>
      </c>
      <c r="D28" s="30">
        <f t="shared" si="0"/>
        <v>18304.545454545456</v>
      </c>
    </row>
    <row r="29" spans="1:15" ht="29.25" customHeight="1">
      <c r="A29" s="15" t="s">
        <v>47</v>
      </c>
      <c r="B29" s="22">
        <f>'Data table 2'!$BX$26</f>
        <v>5</v>
      </c>
      <c r="C29" s="23">
        <f>'Data table 2'!$V$26</f>
        <v>553532</v>
      </c>
      <c r="D29" s="30">
        <f t="shared" si="0"/>
        <v>110706.4</v>
      </c>
    </row>
    <row r="30" spans="1:15" ht="29.25" customHeight="1">
      <c r="A30" s="15" t="s">
        <v>55</v>
      </c>
      <c r="B30" s="22">
        <f>'Data table 2'!$CG$26</f>
        <v>346</v>
      </c>
      <c r="C30" s="23">
        <f>'Data table 2'!$AE$26</f>
        <v>535642</v>
      </c>
      <c r="D30" s="30">
        <f t="shared" si="0"/>
        <v>1548.0982658959538</v>
      </c>
    </row>
    <row r="31" spans="1:15" ht="29.25" customHeight="1">
      <c r="A31" s="15" t="s">
        <v>67</v>
      </c>
      <c r="B31" s="22">
        <f>'Data table 2'!$CV$26</f>
        <v>12</v>
      </c>
      <c r="C31" s="23">
        <f>'Data table 2'!$AT$26</f>
        <v>528000</v>
      </c>
      <c r="D31" s="30">
        <f t="shared" si="0"/>
        <v>44000</v>
      </c>
    </row>
    <row r="32" spans="1:15" ht="29.25" customHeight="1">
      <c r="A32" s="15" t="s">
        <v>48</v>
      </c>
      <c r="B32" s="22">
        <f>'Data table 2'!$BY$26</f>
        <v>10</v>
      </c>
      <c r="C32" s="23">
        <f>'Data table 2'!$W$26</f>
        <v>505087</v>
      </c>
      <c r="D32" s="30">
        <f t="shared" si="0"/>
        <v>50508.7</v>
      </c>
    </row>
    <row r="33" spans="1:4" ht="29.25" customHeight="1">
      <c r="A33" s="15" t="s">
        <v>76</v>
      </c>
      <c r="B33" s="22">
        <f>'Data table 2'!$DE$26</f>
        <v>100</v>
      </c>
      <c r="C33" s="23">
        <f>'Data table 2'!$BC$26</f>
        <v>442359.59</v>
      </c>
      <c r="D33" s="30">
        <f t="shared" si="0"/>
        <v>4423.5959000000003</v>
      </c>
    </row>
    <row r="34" spans="1:4" ht="29.25" customHeight="1">
      <c r="A34" s="15" t="s">
        <v>53</v>
      </c>
      <c r="B34" s="22">
        <f>'Data table 2'!$CE$26</f>
        <v>98</v>
      </c>
      <c r="C34" s="23">
        <f>'Data table 2'!$AC$26</f>
        <v>324860</v>
      </c>
      <c r="D34" s="30">
        <f t="shared" si="0"/>
        <v>3314.8979591836733</v>
      </c>
    </row>
    <row r="35" spans="1:4" ht="29.25" customHeight="1">
      <c r="A35" s="15" t="s">
        <v>29</v>
      </c>
      <c r="B35" s="22">
        <f>'Data table 2'!$BF$26</f>
        <v>58</v>
      </c>
      <c r="C35" s="23">
        <f>'Data table 2'!$D$26</f>
        <v>279537</v>
      </c>
      <c r="D35" s="30">
        <f t="shared" si="0"/>
        <v>4819.6034482758623</v>
      </c>
    </row>
    <row r="36" spans="1:4" ht="29.25" customHeight="1">
      <c r="A36" s="15" t="s">
        <v>75</v>
      </c>
      <c r="B36" s="22">
        <f>'Data table 2'!$DD$26</f>
        <v>11</v>
      </c>
      <c r="C36" s="23">
        <f>'Data table 2'!$BB$26</f>
        <v>275280.40000000002</v>
      </c>
      <c r="D36" s="30">
        <f t="shared" si="0"/>
        <v>25025.49090909091</v>
      </c>
    </row>
    <row r="37" spans="1:4" ht="29.25" customHeight="1">
      <c r="A37" s="15" t="s">
        <v>63</v>
      </c>
      <c r="B37" s="22">
        <f>'Data table 2'!$CR$26</f>
        <v>9</v>
      </c>
      <c r="C37" s="23">
        <f>'Data table 2'!$AP$26</f>
        <v>260000</v>
      </c>
      <c r="D37" s="30">
        <f t="shared" si="0"/>
        <v>28888.888888888891</v>
      </c>
    </row>
    <row r="38" spans="1:4" ht="29.25" customHeight="1">
      <c r="A38" s="15" t="s">
        <v>38</v>
      </c>
      <c r="B38" s="22">
        <f>'Data table 2'!$BN$26</f>
        <v>2</v>
      </c>
      <c r="C38" s="23">
        <f>'Data table 2'!$L$26</f>
        <v>230000</v>
      </c>
      <c r="D38" s="30">
        <f t="shared" si="0"/>
        <v>115000</v>
      </c>
    </row>
    <row r="39" spans="1:4" ht="29.25" customHeight="1">
      <c r="A39" s="15" t="s">
        <v>60</v>
      </c>
      <c r="B39" s="22">
        <f>'Data table 2'!$CO$26</f>
        <v>5</v>
      </c>
      <c r="C39" s="23">
        <f>'Data table 2'!$AM$26</f>
        <v>207879</v>
      </c>
      <c r="D39" s="30">
        <f t="shared" si="0"/>
        <v>41575.800000000003</v>
      </c>
    </row>
    <row r="40" spans="1:4" ht="29.25" customHeight="1">
      <c r="A40" s="15" t="s">
        <v>44</v>
      </c>
      <c r="B40" s="22">
        <f>'Data table 2'!$BU$26</f>
        <v>27</v>
      </c>
      <c r="C40" s="23">
        <f>'Data table 2'!$S$26</f>
        <v>197222</v>
      </c>
      <c r="D40" s="30">
        <f t="shared" si="0"/>
        <v>7304.5185185185182</v>
      </c>
    </row>
    <row r="41" spans="1:4" ht="29.25" customHeight="1">
      <c r="A41" s="15" t="s">
        <v>27</v>
      </c>
      <c r="B41" s="22">
        <f>'Data table 2'!$BE$26</f>
        <v>17</v>
      </c>
      <c r="C41" s="23">
        <f>'Data table 2'!$C$26</f>
        <v>182500</v>
      </c>
      <c r="D41" s="30">
        <f t="shared" si="0"/>
        <v>10735.294117647059</v>
      </c>
    </row>
    <row r="42" spans="1:4" ht="29.25" customHeight="1">
      <c r="A42" s="15" t="s">
        <v>64</v>
      </c>
      <c r="B42" s="22">
        <f>'Data table 2'!$CS$26</f>
        <v>62</v>
      </c>
      <c r="C42" s="23">
        <f>'Data table 2'!$AQ$26</f>
        <v>159313</v>
      </c>
      <c r="D42" s="30">
        <f t="shared" si="0"/>
        <v>2569.5645161290322</v>
      </c>
    </row>
    <row r="43" spans="1:4" ht="29.25" customHeight="1">
      <c r="A43" s="15" t="s">
        <v>71</v>
      </c>
      <c r="B43" s="22">
        <f>'Data table 2'!$CZ$26</f>
        <v>1</v>
      </c>
      <c r="C43" s="23">
        <f>'Data table 2'!$AX$26</f>
        <v>144968</v>
      </c>
      <c r="D43" s="30">
        <f t="shared" si="0"/>
        <v>144968</v>
      </c>
    </row>
    <row r="44" spans="1:4" ht="29.25" customHeight="1">
      <c r="A44" s="15" t="s">
        <v>66</v>
      </c>
      <c r="B44" s="22">
        <f>'Data table 2'!$CU$26</f>
        <v>33</v>
      </c>
      <c r="C44" s="23">
        <f>'Data table 2'!$AS$26</f>
        <v>122058</v>
      </c>
      <c r="D44" s="30">
        <f t="shared" si="0"/>
        <v>3698.7272727272725</v>
      </c>
    </row>
    <row r="45" spans="1:4" ht="29.25" customHeight="1">
      <c r="A45" s="15" t="s">
        <v>41</v>
      </c>
      <c r="B45" s="22">
        <f>'Data table 2'!$BR$26</f>
        <v>28</v>
      </c>
      <c r="C45" s="23">
        <f>'Data table 2'!$P$26</f>
        <v>90834</v>
      </c>
      <c r="D45" s="30">
        <f t="shared" si="0"/>
        <v>3244.0714285714284</v>
      </c>
    </row>
    <row r="46" spans="1:4" ht="29.25" customHeight="1">
      <c r="A46" s="15" t="s">
        <v>32</v>
      </c>
      <c r="B46" s="22">
        <f>'Data table 2'!$BH$26</f>
        <v>5</v>
      </c>
      <c r="C46" s="23">
        <f>'Data table 2'!$F$26</f>
        <v>81050</v>
      </c>
      <c r="D46" s="30">
        <f t="shared" si="0"/>
        <v>16210</v>
      </c>
    </row>
    <row r="47" spans="1:4" ht="29.25" customHeight="1">
      <c r="A47" s="15" t="s">
        <v>59</v>
      </c>
      <c r="B47" s="22">
        <f>'Data table 2'!$CN$26</f>
        <v>80</v>
      </c>
      <c r="C47" s="23">
        <f>'Data table 2'!$AL$26</f>
        <v>74189.36</v>
      </c>
      <c r="D47" s="30">
        <f t="shared" si="0"/>
        <v>927.36699999999996</v>
      </c>
    </row>
    <row r="48" spans="1:4" ht="29.25" customHeight="1">
      <c r="A48" s="15" t="s">
        <v>54</v>
      </c>
      <c r="B48" s="22">
        <f>'Data table 2'!$CF$26</f>
        <v>3</v>
      </c>
      <c r="C48" s="23">
        <f>'Data table 2'!$AD$26</f>
        <v>60000</v>
      </c>
      <c r="D48" s="30">
        <f t="shared" si="0"/>
        <v>20000</v>
      </c>
    </row>
    <row r="49" spans="1:4" ht="29.25" customHeight="1">
      <c r="A49" s="15" t="s">
        <v>42</v>
      </c>
      <c r="B49" s="22">
        <f>'Data table 2'!$BS$26</f>
        <v>31</v>
      </c>
      <c r="C49" s="23">
        <f>'Data table 2'!$Q$26</f>
        <v>59940</v>
      </c>
      <c r="D49" s="30">
        <f t="shared" si="0"/>
        <v>1933.5483870967741</v>
      </c>
    </row>
    <row r="50" spans="1:4" ht="29.25" customHeight="1">
      <c r="A50" s="15" t="s">
        <v>185</v>
      </c>
      <c r="B50" s="22">
        <f>'Data table 2'!$CK$26</f>
        <v>14</v>
      </c>
      <c r="C50" s="23">
        <f>'Data table 2'!$AI$26</f>
        <v>42215.18</v>
      </c>
      <c r="D50" s="30">
        <f t="shared" si="0"/>
        <v>3015.37</v>
      </c>
    </row>
    <row r="51" spans="1:4" ht="29.25" customHeight="1">
      <c r="A51" s="15" t="s">
        <v>181</v>
      </c>
      <c r="B51" s="22">
        <f>'Data table 2'!$BO$26</f>
        <v>44</v>
      </c>
      <c r="C51" s="23">
        <f>'Data table 2'!$M$26</f>
        <v>39663.68</v>
      </c>
      <c r="D51" s="30">
        <f t="shared" si="0"/>
        <v>901.44727272727278</v>
      </c>
    </row>
    <row r="52" spans="1:4" ht="29.25" customHeight="1">
      <c r="A52" s="15" t="s">
        <v>61</v>
      </c>
      <c r="B52" s="22">
        <f>'Data table 2'!$CP$26</f>
        <v>3</v>
      </c>
      <c r="C52" s="23">
        <f>'Data table 2'!$AN$26</f>
        <v>26000</v>
      </c>
      <c r="D52" s="30">
        <f t="shared" si="0"/>
        <v>8666.6666666666661</v>
      </c>
    </row>
    <row r="53" spans="1:4" ht="29.25" customHeight="1">
      <c r="A53" s="15" t="s">
        <v>74</v>
      </c>
      <c r="B53" s="22">
        <f>'Data table 2'!$DC$26</f>
        <v>1</v>
      </c>
      <c r="C53" s="23">
        <f>'Data table 2'!$BA$26</f>
        <v>25000</v>
      </c>
      <c r="D53" s="30">
        <f t="shared" si="0"/>
        <v>25000</v>
      </c>
    </row>
    <row r="54" spans="1:4" ht="29.25" customHeight="1">
      <c r="A54" s="15" t="s">
        <v>68</v>
      </c>
      <c r="B54" s="22">
        <f>'Data table 2'!$CW$26</f>
        <v>34</v>
      </c>
      <c r="C54" s="23">
        <f>'Data table 2'!$AU$26</f>
        <v>23900</v>
      </c>
      <c r="D54" s="30">
        <f t="shared" si="0"/>
        <v>702.94117647058829</v>
      </c>
    </row>
    <row r="55" spans="1:4" ht="29.25" customHeight="1">
      <c r="A55" s="15" t="s">
        <v>72</v>
      </c>
      <c r="B55" s="22">
        <f>'Data table 2'!$DA$26</f>
        <v>1</v>
      </c>
      <c r="C55" s="23">
        <f>'Data table 2'!$AY$26</f>
        <v>17100</v>
      </c>
      <c r="D55" s="30">
        <f t="shared" si="0"/>
        <v>17100</v>
      </c>
    </row>
    <row r="56" spans="1:4" ht="29.25" customHeight="1">
      <c r="A56" s="15" t="s">
        <v>52</v>
      </c>
      <c r="B56" s="22">
        <f>'Data table 2'!$CC$26</f>
        <v>3</v>
      </c>
      <c r="C56" s="23">
        <f>'Data table 2'!$AA$26</f>
        <v>11500</v>
      </c>
      <c r="D56" s="30">
        <f t="shared" si="0"/>
        <v>3833.3333333333335</v>
      </c>
    </row>
    <row r="57" spans="1:4" ht="29.25" customHeight="1">
      <c r="A57" s="15" t="s">
        <v>43</v>
      </c>
      <c r="B57" s="22">
        <f>'Data table 2'!$BT$26</f>
        <v>6</v>
      </c>
      <c r="C57" s="23">
        <f>'Data table 2'!$R$26</f>
        <v>5600</v>
      </c>
      <c r="D57" s="30">
        <f t="shared" si="0"/>
        <v>933.33333333333337</v>
      </c>
    </row>
    <row r="58" spans="1:4" ht="29.25" customHeight="1">
      <c r="A58" s="15" t="s">
        <v>73</v>
      </c>
      <c r="B58" s="22">
        <f>'Data table 2'!$DB$26</f>
        <v>1</v>
      </c>
      <c r="C58" s="23">
        <f>'Data table 2'!$AZ$26</f>
        <v>4700</v>
      </c>
      <c r="D58" s="30">
        <f t="shared" si="0"/>
        <v>4700</v>
      </c>
    </row>
    <row r="59" spans="1:4" ht="29.25" customHeight="1">
      <c r="A59" s="15" t="s">
        <v>37</v>
      </c>
      <c r="B59" s="22">
        <f>'Data table 2'!$BM$26</f>
        <v>1</v>
      </c>
      <c r="C59" s="23">
        <f>'Data table 2'!$K$26</f>
        <v>2000</v>
      </c>
      <c r="D59" s="30">
        <f t="shared" si="0"/>
        <v>2000</v>
      </c>
    </row>
    <row r="60" spans="1:4" ht="29.25" customHeight="1">
      <c r="A60" s="12"/>
    </row>
  </sheetData>
  <sheetProtection algorithmName="SHA-512" hashValue="h/C+rotf6sDZJeCtTEdnz807DA2D3IoCfmBBz5IYx9pErrVHtB5v+hyd0F26zcto3OITGXTnFJ4eC4nm2WzARw==" saltValue="b0gLpzAfjKhEkVsxbOCFYw==" spinCount="100000" sheet="1" objects="1" scenarios="1" selectLockedCells="1" pivotTables="0"/>
  <sortState xmlns:xlrd2="http://schemas.microsoft.com/office/spreadsheetml/2017/richdata2" ref="A7:C60">
    <sortCondition descending="1" ref="C6:C59"/>
  </sortState>
  <mergeCells count="1">
    <mergeCell ref="I1:O2"/>
  </mergeCells>
  <conditionalFormatting sqref="C6:C59">
    <cfRule type="dataBar" priority="6">
      <dataBar>
        <cfvo type="min"/>
        <cfvo type="num" val="$C$5"/>
        <color theme="5" tint="0.79998168889431442"/>
      </dataBar>
      <extLst>
        <ext xmlns:x14="http://schemas.microsoft.com/office/spreadsheetml/2009/9/main" uri="{B025F937-C7B1-47D3-B67F-A62EFF666E3E}">
          <x14:id>{2A52064F-3D73-48DE-A4D1-72BB5BEC2A60}</x14:id>
        </ext>
      </extLst>
    </cfRule>
  </conditionalFormatting>
  <conditionalFormatting sqref="N5:N16">
    <cfRule type="dataBar" priority="2">
      <dataBar>
        <cfvo type="min"/>
        <cfvo type="max"/>
        <color theme="5" tint="0.79998168889431442"/>
      </dataBar>
      <extLst>
        <ext xmlns:x14="http://schemas.microsoft.com/office/spreadsheetml/2009/9/main" uri="{B025F937-C7B1-47D3-B67F-A62EFF666E3E}">
          <x14:id>{B04EEC39-79F5-4DAB-9936-E40EBE5ADD50}</x14:id>
        </ext>
      </extLst>
    </cfRule>
    <cfRule type="dataBar" priority="5">
      <dataBar>
        <cfvo type="min"/>
        <cfvo type="max"/>
        <color theme="5" tint="0.79998168889431442"/>
      </dataBar>
      <extLst>
        <ext xmlns:x14="http://schemas.microsoft.com/office/spreadsheetml/2009/9/main" uri="{B025F937-C7B1-47D3-B67F-A62EFF666E3E}">
          <x14:id>{535FF32B-B2A3-442E-9715-BF3590F5F053}</x14:id>
        </ext>
      </extLst>
    </cfRule>
  </conditionalFormatting>
  <conditionalFormatting sqref="N5">
    <cfRule type="dataBar" priority="1">
      <dataBar>
        <cfvo type="min"/>
        <cfvo type="max"/>
        <color theme="5" tint="0.59999389629810485"/>
      </dataBar>
      <extLst>
        <ext xmlns:x14="http://schemas.microsoft.com/office/spreadsheetml/2009/9/main" uri="{B025F937-C7B1-47D3-B67F-A62EFF666E3E}">
          <x14:id>{CF14E5A2-0A29-4E65-9A37-745D9E355E15}</x14:id>
        </ext>
      </extLst>
    </cfRule>
    <cfRule type="dataBar" priority="3">
      <dataBar>
        <cfvo type="min"/>
        <cfvo type="max"/>
        <color theme="5" tint="0.59999389629810485"/>
      </dataBar>
      <extLst>
        <ext xmlns:x14="http://schemas.microsoft.com/office/spreadsheetml/2009/9/main" uri="{B025F937-C7B1-47D3-B67F-A62EFF666E3E}">
          <x14:id>{B37DA2E9-F756-4F43-9EE1-C041507FF9D3}</x14:id>
        </ext>
      </extLst>
    </cfRule>
    <cfRule type="dataBar" priority="4">
      <dataBar>
        <cfvo type="min"/>
        <cfvo type="max"/>
        <color theme="5" tint="0.39997558519241921"/>
      </dataBar>
      <extLst>
        <ext xmlns:x14="http://schemas.microsoft.com/office/spreadsheetml/2009/9/main" uri="{B025F937-C7B1-47D3-B67F-A62EFF666E3E}">
          <x14:id>{DDB0EDD2-FBBA-466F-A854-AFF3D11CDBD5}</x14:id>
        </ext>
      </extLst>
    </cfRule>
  </conditionalFormatting>
  <dataValidations xWindow="549" yWindow="522" count="1">
    <dataValidation allowBlank="1" showErrorMessage="1" prompt="Select one local authority by clicking on the LA name.  To select more than one LA, first click the icon with three ticks in the top right.  To reset, click the icon with the red cross." sqref="I3:I4 J3" xr:uid="{6EF3F3B8-803F-42B2-B958-4F0E5919E655}"/>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Scroll Bar 1">
              <controlPr locked="0" defaultSize="0" autoPict="0">
                <anchor moveWithCells="1">
                  <from>
                    <xdr:col>9</xdr:col>
                    <xdr:colOff>647700</xdr:colOff>
                    <xdr:row>5</xdr:row>
                    <xdr:rowOff>133350</xdr:rowOff>
                  </from>
                  <to>
                    <xdr:col>9</xdr:col>
                    <xdr:colOff>952500</xdr:colOff>
                    <xdr:row>16</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2A52064F-3D73-48DE-A4D1-72BB5BEC2A60}">
            <x14:dataBar minLength="0" maxLength="100" gradient="0">
              <x14:cfvo type="autoMin"/>
              <x14:cfvo type="num">
                <xm:f>$C$5</xm:f>
              </x14:cfvo>
              <x14:negativeFillColor rgb="FFFF0000"/>
              <x14:axisColor rgb="FF000000"/>
            </x14:dataBar>
          </x14:cfRule>
          <xm:sqref>C6:C59</xm:sqref>
        </x14:conditionalFormatting>
        <x14:conditionalFormatting xmlns:xm="http://schemas.microsoft.com/office/excel/2006/main">
          <x14:cfRule type="dataBar" id="{B04EEC39-79F5-4DAB-9936-E40EBE5ADD50}">
            <x14:dataBar minLength="0" maxLength="100" gradient="0">
              <x14:cfvo type="autoMin"/>
              <x14:cfvo type="autoMax"/>
              <x14:negativeFillColor rgb="FFFF0000"/>
              <x14:axisColor rgb="FF000000"/>
            </x14:dataBar>
          </x14:cfRule>
          <x14:cfRule type="dataBar" id="{535FF32B-B2A3-442E-9715-BF3590F5F053}">
            <x14:dataBar minLength="0" maxLength="100" gradient="0">
              <x14:cfvo type="autoMin"/>
              <x14:cfvo type="autoMax"/>
              <x14:negativeFillColor rgb="FFFF0000"/>
              <x14:axisColor rgb="FF000000"/>
            </x14:dataBar>
          </x14:cfRule>
          <xm:sqref>N5:N16</xm:sqref>
        </x14:conditionalFormatting>
        <x14:conditionalFormatting xmlns:xm="http://schemas.microsoft.com/office/excel/2006/main">
          <x14:cfRule type="dataBar" id="{CF14E5A2-0A29-4E65-9A37-745D9E355E15}">
            <x14:dataBar minLength="0" maxLength="100" gradient="0">
              <x14:cfvo type="autoMin"/>
              <x14:cfvo type="autoMax"/>
              <x14:negativeFillColor rgb="FFFF0000"/>
              <x14:axisColor rgb="FF000000"/>
            </x14:dataBar>
          </x14:cfRule>
          <x14:cfRule type="dataBar" id="{B37DA2E9-F756-4F43-9EE1-C041507FF9D3}">
            <x14:dataBar minLength="0" maxLength="100" gradient="0">
              <x14:cfvo type="autoMin"/>
              <x14:cfvo type="autoMax"/>
              <x14:negativeFillColor rgb="FFFF0000"/>
              <x14:axisColor rgb="FF000000"/>
            </x14:dataBar>
          </x14:cfRule>
          <x14:cfRule type="dataBar" id="{DDB0EDD2-FBBA-466F-A854-AFF3D11CDBD5}">
            <x14:dataBar minLength="0" maxLength="100" gradient="0">
              <x14:cfvo type="autoMin"/>
              <x14:cfvo type="autoMax"/>
              <x14:negativeFillColor rgb="FFFF0000"/>
              <x14:axisColor rgb="FF000000"/>
            </x14:dataBar>
          </x14:cfRule>
          <xm:sqref>N5</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51BB-FFA2-4BE7-A780-26C3AAC14F3E}">
  <sheetPr codeName="Sheet3"/>
  <dimension ref="A1:DG26"/>
  <sheetViews>
    <sheetView workbookViewId="0">
      <selection activeCell="M1" sqref="M1"/>
    </sheetView>
  </sheetViews>
  <sheetFormatPr defaultColWidth="12" defaultRowHeight="18" customHeight="1"/>
  <cols>
    <col min="1" max="2" width="25.75" customWidth="1"/>
    <col min="3" max="3" width="20" customWidth="1"/>
    <col min="4" max="4" width="23" customWidth="1"/>
    <col min="5" max="5" width="13.75" customWidth="1"/>
    <col min="6" max="7" width="22" customWidth="1"/>
    <col min="8" max="8" width="14.25" customWidth="1"/>
    <col min="9" max="9" width="20" customWidth="1"/>
    <col min="10" max="10" width="28" customWidth="1"/>
    <col min="11" max="11" width="14" customWidth="1"/>
    <col min="12" max="12" width="12" customWidth="1"/>
    <col min="13" max="13" width="16.75" customWidth="1"/>
    <col min="14" max="14" width="29.625" customWidth="1"/>
    <col min="15" max="15" width="24" customWidth="1"/>
    <col min="16" max="16" width="30.75" customWidth="1"/>
    <col min="17" max="17" width="13.625" customWidth="1"/>
    <col min="18" max="18" width="32.625" customWidth="1"/>
    <col min="19" max="19" width="24.125" customWidth="1"/>
    <col min="20" max="20" width="33" customWidth="1"/>
    <col min="21" max="21" width="30.25" customWidth="1"/>
    <col min="22" max="22" width="24.125" customWidth="1"/>
    <col min="23" max="23" width="12" customWidth="1"/>
    <col min="24" max="24" width="24.75" customWidth="1"/>
    <col min="25" max="25" width="18.625" customWidth="1"/>
    <col min="26" max="26" width="18.125" customWidth="1"/>
    <col min="27" max="27" width="30.5" customWidth="1"/>
    <col min="28" max="28" width="12" customWidth="1"/>
    <col min="29" max="29" width="27.25" customWidth="1"/>
    <col min="30" max="30" width="14.5" customWidth="1"/>
    <col min="31" max="31" width="23.75" customWidth="1"/>
    <col min="32" max="32" width="17.75" customWidth="1"/>
    <col min="33" max="33" width="15.25" customWidth="1"/>
    <col min="34" max="34" width="13" customWidth="1"/>
    <col min="35" max="35" width="19.25" customWidth="1"/>
    <col min="36" max="36" width="18.25" customWidth="1"/>
    <col min="37" max="37" width="29.25" customWidth="1"/>
    <col min="38" max="38" width="39" customWidth="1"/>
    <col min="39" max="39" width="20.625" customWidth="1"/>
    <col min="40" max="40" width="15" customWidth="1"/>
    <col min="41" max="41" width="24.5" customWidth="1"/>
    <col min="42" max="42" width="22.625" customWidth="1"/>
    <col min="43" max="43" width="18.125" customWidth="1"/>
    <col min="44" max="44" width="17" customWidth="1"/>
    <col min="45" max="45" width="28" customWidth="1"/>
    <col min="46" max="46" width="20.75" bestFit="1" customWidth="1"/>
    <col min="47" max="47" width="33.375" customWidth="1"/>
    <col min="48" max="48" width="22.875" customWidth="1"/>
    <col min="49" max="49" width="22.625" customWidth="1"/>
    <col min="50" max="50" width="22.75" customWidth="1"/>
    <col min="51" max="51" width="26.125" customWidth="1"/>
    <col min="52" max="52" width="20.625" customWidth="1"/>
    <col min="53" max="53" width="19.75" customWidth="1"/>
    <col min="54" max="54" width="19.125" customWidth="1"/>
    <col min="55" max="55" width="22" customWidth="1"/>
    <col min="56" max="56" width="27.5" customWidth="1"/>
    <col min="57" max="57" width="24.25" customWidth="1"/>
    <col min="58" max="58" width="13.5" customWidth="1"/>
  </cols>
  <sheetData>
    <row r="1" spans="1:111" ht="18" customHeight="1">
      <c r="A1" t="s">
        <v>0</v>
      </c>
      <c r="B1" t="s">
        <v>111</v>
      </c>
      <c r="C1" t="s">
        <v>27</v>
      </c>
      <c r="D1" t="s">
        <v>29</v>
      </c>
      <c r="E1" t="s">
        <v>31</v>
      </c>
      <c r="F1" t="s">
        <v>32</v>
      </c>
      <c r="G1" t="s">
        <v>33</v>
      </c>
      <c r="H1" t="s">
        <v>34</v>
      </c>
      <c r="I1" t="s">
        <v>35</v>
      </c>
      <c r="J1" t="s">
        <v>36</v>
      </c>
      <c r="K1" t="s">
        <v>37</v>
      </c>
      <c r="L1" t="s">
        <v>38</v>
      </c>
      <c r="M1" t="s">
        <v>181</v>
      </c>
      <c r="N1" t="s">
        <v>39</v>
      </c>
      <c r="O1" t="s">
        <v>40</v>
      </c>
      <c r="P1" t="s">
        <v>41</v>
      </c>
      <c r="Q1" t="s">
        <v>42</v>
      </c>
      <c r="R1" t="s">
        <v>43</v>
      </c>
      <c r="S1" t="s">
        <v>44</v>
      </c>
      <c r="T1" t="s">
        <v>45</v>
      </c>
      <c r="U1" t="s">
        <v>46</v>
      </c>
      <c r="V1" t="s">
        <v>47</v>
      </c>
      <c r="W1" t="s">
        <v>48</v>
      </c>
      <c r="X1" t="s">
        <v>49</v>
      </c>
      <c r="Y1" t="s">
        <v>50</v>
      </c>
      <c r="Z1" t="s">
        <v>51</v>
      </c>
      <c r="AA1" t="s">
        <v>52</v>
      </c>
      <c r="AB1" t="s">
        <v>182</v>
      </c>
      <c r="AC1" t="s">
        <v>53</v>
      </c>
      <c r="AD1" t="s">
        <v>54</v>
      </c>
      <c r="AE1" t="s">
        <v>55</v>
      </c>
      <c r="AF1" t="s">
        <v>179</v>
      </c>
      <c r="AG1" t="s">
        <v>56</v>
      </c>
      <c r="AH1" t="s">
        <v>186</v>
      </c>
      <c r="AI1" t="s">
        <v>185</v>
      </c>
      <c r="AJ1" t="s">
        <v>57</v>
      </c>
      <c r="AK1" t="s">
        <v>58</v>
      </c>
      <c r="AL1" t="s">
        <v>59</v>
      </c>
      <c r="AM1" t="s">
        <v>60</v>
      </c>
      <c r="AN1" t="s">
        <v>61</v>
      </c>
      <c r="AO1" t="s">
        <v>62</v>
      </c>
      <c r="AP1" t="s">
        <v>63</v>
      </c>
      <c r="AQ1" t="s">
        <v>64</v>
      </c>
      <c r="AR1" t="s">
        <v>65</v>
      </c>
      <c r="AS1" t="s">
        <v>66</v>
      </c>
      <c r="AT1" t="s">
        <v>67</v>
      </c>
      <c r="AU1" t="s">
        <v>68</v>
      </c>
      <c r="AV1" t="s">
        <v>69</v>
      </c>
      <c r="AW1" t="s">
        <v>70</v>
      </c>
      <c r="AX1" t="s">
        <v>71</v>
      </c>
      <c r="AY1" t="s">
        <v>72</v>
      </c>
      <c r="AZ1" t="s">
        <v>73</v>
      </c>
      <c r="BA1" t="s">
        <v>74</v>
      </c>
      <c r="BB1" t="s">
        <v>75</v>
      </c>
      <c r="BC1" t="s">
        <v>76</v>
      </c>
      <c r="BD1" t="s">
        <v>183</v>
      </c>
      <c r="BE1" s="5" t="s">
        <v>114</v>
      </c>
      <c r="BF1" s="5" t="s">
        <v>115</v>
      </c>
      <c r="BG1" s="5" t="s">
        <v>116</v>
      </c>
      <c r="BH1" s="5" t="s">
        <v>117</v>
      </c>
      <c r="BI1" s="5" t="s">
        <v>118</v>
      </c>
      <c r="BJ1" s="5" t="s">
        <v>119</v>
      </c>
      <c r="BK1" s="5" t="s">
        <v>120</v>
      </c>
      <c r="BL1" s="5" t="s">
        <v>121</v>
      </c>
      <c r="BM1" s="5" t="s">
        <v>122</v>
      </c>
      <c r="BN1" s="5" t="s">
        <v>123</v>
      </c>
      <c r="BO1" s="5" t="s">
        <v>124</v>
      </c>
      <c r="BP1" s="5" t="s">
        <v>125</v>
      </c>
      <c r="BQ1" s="5" t="s">
        <v>126</v>
      </c>
      <c r="BR1" s="5" t="s">
        <v>127</v>
      </c>
      <c r="BS1" s="5" t="s">
        <v>128</v>
      </c>
      <c r="BT1" s="5" t="s">
        <v>129</v>
      </c>
      <c r="BU1" s="5" t="s">
        <v>130</v>
      </c>
      <c r="BV1" s="5" t="s">
        <v>131</v>
      </c>
      <c r="BW1" s="5" t="s">
        <v>132</v>
      </c>
      <c r="BX1" s="5" t="s">
        <v>133</v>
      </c>
      <c r="BY1" s="5" t="s">
        <v>134</v>
      </c>
      <c r="BZ1" s="5" t="s">
        <v>135</v>
      </c>
      <c r="CA1" s="5" t="s">
        <v>136</v>
      </c>
      <c r="CB1" s="5" t="s">
        <v>137</v>
      </c>
      <c r="CC1" s="5" t="s">
        <v>138</v>
      </c>
      <c r="CD1" s="5" t="s">
        <v>139</v>
      </c>
      <c r="CE1" s="5" t="s">
        <v>140</v>
      </c>
      <c r="CF1" s="5" t="s">
        <v>141</v>
      </c>
      <c r="CG1" s="5" t="s">
        <v>142</v>
      </c>
      <c r="CH1" s="5" t="s">
        <v>143</v>
      </c>
      <c r="CI1" s="5" t="s">
        <v>144</v>
      </c>
      <c r="CJ1" s="5" t="s">
        <v>145</v>
      </c>
      <c r="CK1" s="5" t="s">
        <v>184</v>
      </c>
      <c r="CL1" s="5" t="s">
        <v>146</v>
      </c>
      <c r="CM1" s="5" t="s">
        <v>147</v>
      </c>
      <c r="CN1" s="5" t="s">
        <v>148</v>
      </c>
      <c r="CO1" s="5" t="s">
        <v>149</v>
      </c>
      <c r="CP1" s="5" t="s">
        <v>150</v>
      </c>
      <c r="CQ1" s="5" t="s">
        <v>151</v>
      </c>
      <c r="CR1" s="5" t="s">
        <v>152</v>
      </c>
      <c r="CS1" s="5" t="s">
        <v>153</v>
      </c>
      <c r="CT1" s="5" t="s">
        <v>154</v>
      </c>
      <c r="CU1" s="5" t="s">
        <v>155</v>
      </c>
      <c r="CV1" s="5" t="s">
        <v>156</v>
      </c>
      <c r="CW1" s="5" t="s">
        <v>157</v>
      </c>
      <c r="CX1" s="5" t="s">
        <v>158</v>
      </c>
      <c r="CY1" s="5" t="s">
        <v>159</v>
      </c>
      <c r="CZ1" s="5" t="s">
        <v>160</v>
      </c>
      <c r="DA1" s="5" t="s">
        <v>161</v>
      </c>
      <c r="DB1" s="5" t="s">
        <v>162</v>
      </c>
      <c r="DC1" s="5" t="s">
        <v>163</v>
      </c>
      <c r="DD1" s="5" t="s">
        <v>164</v>
      </c>
      <c r="DE1" s="5" t="s">
        <v>165</v>
      </c>
      <c r="DF1" s="5" t="s">
        <v>166</v>
      </c>
      <c r="DG1" t="s">
        <v>26</v>
      </c>
    </row>
    <row r="2" spans="1:111" ht="18" customHeight="1">
      <c r="A2" t="s">
        <v>169</v>
      </c>
      <c r="B2" s="5">
        <v>215</v>
      </c>
      <c r="C2" s="3"/>
      <c r="D2" s="3"/>
      <c r="E2" s="3"/>
      <c r="F2" s="3"/>
      <c r="G2" s="3"/>
      <c r="H2" s="3"/>
      <c r="I2" s="3"/>
      <c r="J2" s="3"/>
      <c r="K2" s="3"/>
      <c r="L2" s="3"/>
      <c r="M2" s="3"/>
      <c r="N2" s="3">
        <v>537532.41999999993</v>
      </c>
      <c r="O2" s="3"/>
      <c r="P2" s="3"/>
      <c r="Q2" s="3"/>
      <c r="R2" s="3"/>
      <c r="S2" s="3"/>
      <c r="T2" s="3"/>
      <c r="U2" s="3"/>
      <c r="V2" s="3"/>
      <c r="W2" s="3"/>
      <c r="X2" s="3"/>
      <c r="Y2" s="3"/>
      <c r="Z2" s="3"/>
      <c r="AA2" s="3"/>
      <c r="AB2" s="3">
        <v>1322000</v>
      </c>
      <c r="AC2" s="3"/>
      <c r="AD2" s="3"/>
      <c r="AE2" s="3"/>
      <c r="AF2" s="3"/>
      <c r="AG2" s="3"/>
      <c r="AH2" s="3"/>
      <c r="AI2" s="3"/>
      <c r="AJ2" s="3"/>
      <c r="AK2" s="3"/>
      <c r="AL2" s="3"/>
      <c r="AM2" s="3"/>
      <c r="AN2" s="3"/>
      <c r="AO2" s="3"/>
      <c r="AP2" s="3"/>
      <c r="AQ2" s="3"/>
      <c r="AR2" s="3"/>
      <c r="AS2" s="3"/>
      <c r="AT2" s="3"/>
      <c r="AU2" s="3"/>
      <c r="AV2" s="3">
        <v>2624897</v>
      </c>
      <c r="AW2" s="3">
        <v>766358.2</v>
      </c>
      <c r="AX2" s="3"/>
      <c r="AY2" s="3"/>
      <c r="AZ2" s="3"/>
      <c r="BA2" s="3"/>
      <c r="BB2" s="3"/>
      <c r="BC2" s="3"/>
      <c r="BD2" s="3">
        <v>7616</v>
      </c>
      <c r="BE2" s="5"/>
      <c r="BF2" s="5"/>
      <c r="BG2" s="5"/>
      <c r="BH2" s="5"/>
      <c r="BI2" s="5"/>
      <c r="BJ2" s="5"/>
      <c r="BK2" s="5"/>
      <c r="BL2" s="5"/>
      <c r="BM2" s="5"/>
      <c r="BN2" s="5"/>
      <c r="BO2" s="5"/>
      <c r="BP2" s="5">
        <v>61</v>
      </c>
      <c r="BQ2" s="5"/>
      <c r="BR2" s="5"/>
      <c r="BS2" s="5"/>
      <c r="BT2" s="5"/>
      <c r="BU2" s="5"/>
      <c r="BV2" s="5"/>
      <c r="BW2" s="5"/>
      <c r="BX2" s="5"/>
      <c r="BY2" s="5"/>
      <c r="BZ2" s="5"/>
      <c r="CA2" s="5"/>
      <c r="CB2" s="5"/>
      <c r="CC2" s="5"/>
      <c r="CD2" s="5">
        <v>4</v>
      </c>
      <c r="CE2" s="5"/>
      <c r="CF2" s="5"/>
      <c r="CG2" s="5"/>
      <c r="CH2" s="5"/>
      <c r="CI2" s="5"/>
      <c r="CJ2" s="5"/>
      <c r="CK2" s="5"/>
      <c r="CL2" s="5"/>
      <c r="CM2" s="5"/>
      <c r="CN2" s="5"/>
      <c r="CO2" s="5"/>
      <c r="CP2" s="5"/>
      <c r="CQ2" s="5"/>
      <c r="CR2" s="5"/>
      <c r="CS2" s="5"/>
      <c r="CT2" s="5"/>
      <c r="CU2" s="5"/>
      <c r="CV2" s="5"/>
      <c r="CW2" s="5"/>
      <c r="CX2" s="5">
        <v>136</v>
      </c>
      <c r="CY2" s="5">
        <v>9</v>
      </c>
      <c r="CZ2" s="5"/>
      <c r="DA2" s="5"/>
      <c r="DB2" s="5"/>
      <c r="DC2" s="5"/>
      <c r="DD2" s="5"/>
      <c r="DE2" s="5"/>
      <c r="DF2" s="5">
        <v>5</v>
      </c>
      <c r="DG2" s="3">
        <v>5258403.62</v>
      </c>
    </row>
    <row r="3" spans="1:111" ht="18" customHeight="1">
      <c r="A3" t="s">
        <v>171</v>
      </c>
      <c r="B3" s="5">
        <v>113</v>
      </c>
      <c r="C3" s="3"/>
      <c r="D3" s="3"/>
      <c r="E3" s="3"/>
      <c r="F3" s="3"/>
      <c r="G3" s="3"/>
      <c r="H3" s="3"/>
      <c r="I3" s="3"/>
      <c r="J3" s="3"/>
      <c r="K3" s="3"/>
      <c r="L3" s="3"/>
      <c r="M3" s="3"/>
      <c r="N3" s="3"/>
      <c r="O3" s="3"/>
      <c r="P3" s="3"/>
      <c r="Q3" s="3"/>
      <c r="R3" s="3"/>
      <c r="S3" s="3"/>
      <c r="T3" s="3"/>
      <c r="U3" s="3"/>
      <c r="V3" s="3"/>
      <c r="W3" s="3"/>
      <c r="X3" s="3"/>
      <c r="Y3" s="3"/>
      <c r="Z3" s="3"/>
      <c r="AA3" s="3"/>
      <c r="AB3" s="3">
        <v>2166644</v>
      </c>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5"/>
      <c r="BF3" s="5"/>
      <c r="BG3" s="5"/>
      <c r="BH3" s="5"/>
      <c r="BI3" s="5"/>
      <c r="BJ3" s="5"/>
      <c r="BK3" s="5"/>
      <c r="BL3" s="5"/>
      <c r="BM3" s="5"/>
      <c r="BN3" s="5"/>
      <c r="BO3" s="5"/>
      <c r="BP3" s="5"/>
      <c r="BQ3" s="5"/>
      <c r="BR3" s="5"/>
      <c r="BS3" s="5"/>
      <c r="BT3" s="5"/>
      <c r="BU3" s="5"/>
      <c r="BV3" s="5"/>
      <c r="BW3" s="5"/>
      <c r="BX3" s="5"/>
      <c r="BY3" s="5"/>
      <c r="BZ3" s="5"/>
      <c r="CA3" s="5"/>
      <c r="CB3" s="5"/>
      <c r="CC3" s="5"/>
      <c r="CD3" s="5">
        <v>113</v>
      </c>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3">
        <v>2166644</v>
      </c>
    </row>
    <row r="4" spans="1:111" ht="18" customHeight="1">
      <c r="A4" t="s">
        <v>170</v>
      </c>
      <c r="B4" s="5">
        <v>107</v>
      </c>
      <c r="C4" s="3"/>
      <c r="D4" s="3"/>
      <c r="E4" s="3"/>
      <c r="F4" s="3"/>
      <c r="G4" s="3"/>
      <c r="H4" s="3"/>
      <c r="I4" s="3"/>
      <c r="J4" s="3"/>
      <c r="K4" s="3"/>
      <c r="L4" s="3"/>
      <c r="M4" s="3"/>
      <c r="N4" s="3"/>
      <c r="O4" s="3"/>
      <c r="P4" s="3"/>
      <c r="Q4" s="3"/>
      <c r="R4" s="3"/>
      <c r="S4" s="3"/>
      <c r="T4" s="3"/>
      <c r="U4" s="3"/>
      <c r="V4" s="3"/>
      <c r="W4" s="3"/>
      <c r="X4" s="3"/>
      <c r="Y4" s="3"/>
      <c r="Z4" s="3"/>
      <c r="AA4" s="3"/>
      <c r="AB4" s="3">
        <v>377020</v>
      </c>
      <c r="AC4" s="3">
        <v>289714</v>
      </c>
      <c r="AD4" s="3"/>
      <c r="AE4" s="3"/>
      <c r="AF4" s="3"/>
      <c r="AG4" s="3"/>
      <c r="AH4" s="3"/>
      <c r="AI4" s="3"/>
      <c r="AJ4" s="3">
        <v>15000</v>
      </c>
      <c r="AK4" s="3"/>
      <c r="AL4" s="3"/>
      <c r="AM4" s="3"/>
      <c r="AN4" s="3"/>
      <c r="AO4" s="3"/>
      <c r="AP4" s="3"/>
      <c r="AQ4" s="3"/>
      <c r="AR4" s="3"/>
      <c r="AS4" s="3"/>
      <c r="AT4" s="3"/>
      <c r="AU4" s="3"/>
      <c r="AV4" s="3"/>
      <c r="AW4" s="3"/>
      <c r="AX4" s="3"/>
      <c r="AY4" s="3"/>
      <c r="AZ4" s="3"/>
      <c r="BA4" s="3"/>
      <c r="BB4" s="3"/>
      <c r="BC4" s="3"/>
      <c r="BD4" s="3"/>
      <c r="BE4" s="5"/>
      <c r="BF4" s="5"/>
      <c r="BG4" s="5"/>
      <c r="BH4" s="5"/>
      <c r="BI4" s="5"/>
      <c r="BJ4" s="5"/>
      <c r="BK4" s="5"/>
      <c r="BL4" s="5"/>
      <c r="BM4" s="5"/>
      <c r="BN4" s="5"/>
      <c r="BO4" s="5"/>
      <c r="BP4" s="5"/>
      <c r="BQ4" s="5"/>
      <c r="BR4" s="5"/>
      <c r="BS4" s="5"/>
      <c r="BT4" s="5"/>
      <c r="BU4" s="5"/>
      <c r="BV4" s="5"/>
      <c r="BW4" s="5"/>
      <c r="BX4" s="5"/>
      <c r="BY4" s="5"/>
      <c r="BZ4" s="5"/>
      <c r="CA4" s="5"/>
      <c r="CB4" s="5"/>
      <c r="CC4" s="5"/>
      <c r="CD4" s="5">
        <v>17</v>
      </c>
      <c r="CE4" s="5">
        <v>89</v>
      </c>
      <c r="CF4" s="5"/>
      <c r="CG4" s="5"/>
      <c r="CH4" s="5"/>
      <c r="CI4" s="5"/>
      <c r="CJ4" s="5"/>
      <c r="CK4" s="5"/>
      <c r="CL4" s="5">
        <v>1</v>
      </c>
      <c r="CM4" s="5"/>
      <c r="CN4" s="5"/>
      <c r="CO4" s="5"/>
      <c r="CP4" s="5"/>
      <c r="CQ4" s="5"/>
      <c r="CR4" s="5"/>
      <c r="CS4" s="5"/>
      <c r="CT4" s="5"/>
      <c r="CU4" s="5"/>
      <c r="CV4" s="5"/>
      <c r="CW4" s="5"/>
      <c r="CX4" s="5"/>
      <c r="CY4" s="5"/>
      <c r="CZ4" s="5"/>
      <c r="DA4" s="5"/>
      <c r="DB4" s="5"/>
      <c r="DC4" s="5"/>
      <c r="DD4" s="5"/>
      <c r="DE4" s="5"/>
      <c r="DF4" s="5"/>
      <c r="DG4" s="3">
        <v>681734</v>
      </c>
    </row>
    <row r="5" spans="1:111" ht="18" customHeight="1">
      <c r="A5" t="s">
        <v>5</v>
      </c>
      <c r="B5" s="5">
        <v>297</v>
      </c>
      <c r="C5" s="3"/>
      <c r="D5" s="3"/>
      <c r="E5" s="3">
        <v>443663</v>
      </c>
      <c r="F5" s="3"/>
      <c r="G5" s="3">
        <v>10000</v>
      </c>
      <c r="H5" s="3">
        <v>39666</v>
      </c>
      <c r="I5" s="3">
        <v>85195.119999999981</v>
      </c>
      <c r="J5" s="3"/>
      <c r="K5" s="3"/>
      <c r="L5" s="3"/>
      <c r="M5" s="3">
        <v>1987.48</v>
      </c>
      <c r="N5" s="3"/>
      <c r="O5" s="3">
        <v>26161</v>
      </c>
      <c r="P5" s="3">
        <v>4074</v>
      </c>
      <c r="Q5" s="3"/>
      <c r="R5" s="3">
        <v>600</v>
      </c>
      <c r="S5" s="3">
        <v>882</v>
      </c>
      <c r="T5" s="3">
        <v>3861313.48</v>
      </c>
      <c r="U5" s="3">
        <v>1324500</v>
      </c>
      <c r="V5" s="3"/>
      <c r="W5" s="3"/>
      <c r="X5" s="3"/>
      <c r="Y5" s="3"/>
      <c r="Z5" s="3"/>
      <c r="AA5" s="3"/>
      <c r="AB5" s="3">
        <v>82535</v>
      </c>
      <c r="AC5" s="3"/>
      <c r="AD5" s="3"/>
      <c r="AE5" s="3"/>
      <c r="AF5" s="3">
        <v>302766.2</v>
      </c>
      <c r="AG5" s="3">
        <v>322181</v>
      </c>
      <c r="AH5" s="3">
        <v>17000</v>
      </c>
      <c r="AI5" s="3"/>
      <c r="AJ5" s="3">
        <v>43096</v>
      </c>
      <c r="AK5" s="3"/>
      <c r="AL5" s="3">
        <v>300</v>
      </c>
      <c r="AM5" s="3"/>
      <c r="AN5" s="3"/>
      <c r="AO5" s="3">
        <v>89000</v>
      </c>
      <c r="AP5" s="3"/>
      <c r="AQ5" s="3">
        <v>1000</v>
      </c>
      <c r="AR5" s="3">
        <v>120000</v>
      </c>
      <c r="AS5" s="3">
        <v>4992</v>
      </c>
      <c r="AT5" s="3"/>
      <c r="AU5" s="3">
        <v>1000</v>
      </c>
      <c r="AV5" s="3"/>
      <c r="AW5" s="3"/>
      <c r="AX5" s="3"/>
      <c r="AY5" s="3"/>
      <c r="AZ5" s="3"/>
      <c r="BA5" s="3"/>
      <c r="BB5" s="3"/>
      <c r="BC5" s="3"/>
      <c r="BD5" s="3"/>
      <c r="BE5" s="5"/>
      <c r="BF5" s="5"/>
      <c r="BG5" s="5">
        <v>17</v>
      </c>
      <c r="BH5" s="5"/>
      <c r="BI5" s="5">
        <v>1</v>
      </c>
      <c r="BJ5" s="5">
        <v>1</v>
      </c>
      <c r="BK5" s="5">
        <v>36</v>
      </c>
      <c r="BL5" s="5"/>
      <c r="BM5" s="5"/>
      <c r="BN5" s="5"/>
      <c r="BO5" s="5">
        <v>2</v>
      </c>
      <c r="BP5" s="5"/>
      <c r="BQ5" s="5">
        <v>2</v>
      </c>
      <c r="BR5" s="5">
        <v>2</v>
      </c>
      <c r="BS5" s="5"/>
      <c r="BT5" s="5">
        <v>1</v>
      </c>
      <c r="BU5" s="5">
        <v>1</v>
      </c>
      <c r="BV5" s="5">
        <v>97</v>
      </c>
      <c r="BW5" s="5">
        <v>7</v>
      </c>
      <c r="BX5" s="5"/>
      <c r="BY5" s="5"/>
      <c r="BZ5" s="5"/>
      <c r="CA5" s="5"/>
      <c r="CB5" s="5"/>
      <c r="CC5" s="5"/>
      <c r="CD5" s="5">
        <v>7</v>
      </c>
      <c r="CE5" s="5"/>
      <c r="CF5" s="5"/>
      <c r="CG5" s="5"/>
      <c r="CH5" s="5">
        <v>94</v>
      </c>
      <c r="CI5" s="5">
        <v>10</v>
      </c>
      <c r="CJ5" s="5">
        <v>5</v>
      </c>
      <c r="CK5" s="5"/>
      <c r="CL5" s="5">
        <v>5</v>
      </c>
      <c r="CM5" s="5"/>
      <c r="CN5" s="5">
        <v>1</v>
      </c>
      <c r="CO5" s="5"/>
      <c r="CP5" s="5"/>
      <c r="CQ5" s="5">
        <v>1</v>
      </c>
      <c r="CR5" s="5"/>
      <c r="CS5" s="5">
        <v>1</v>
      </c>
      <c r="CT5" s="5">
        <v>2</v>
      </c>
      <c r="CU5" s="5">
        <v>1</v>
      </c>
      <c r="CV5" s="5"/>
      <c r="CW5" s="5">
        <v>3</v>
      </c>
      <c r="CX5" s="5"/>
      <c r="CY5" s="5"/>
      <c r="CZ5" s="5"/>
      <c r="DA5" s="5"/>
      <c r="DB5" s="5"/>
      <c r="DC5" s="5"/>
      <c r="DD5" s="5"/>
      <c r="DE5" s="5"/>
      <c r="DF5" s="5"/>
      <c r="DG5" s="3">
        <v>6781912.2800000003</v>
      </c>
    </row>
    <row r="6" spans="1:111" ht="18" customHeight="1">
      <c r="A6" t="s">
        <v>6</v>
      </c>
      <c r="B6" s="5">
        <v>1042</v>
      </c>
      <c r="C6" s="3">
        <v>15000</v>
      </c>
      <c r="D6" s="3">
        <v>33277</v>
      </c>
      <c r="E6" s="3">
        <v>1895409.2384319063</v>
      </c>
      <c r="F6" s="3"/>
      <c r="G6" s="3">
        <v>1911619.8</v>
      </c>
      <c r="H6" s="3">
        <v>285513</v>
      </c>
      <c r="I6" s="3">
        <v>204020.99000000002</v>
      </c>
      <c r="J6" s="3">
        <v>518254</v>
      </c>
      <c r="K6" s="3"/>
      <c r="L6" s="3"/>
      <c r="M6" s="3">
        <v>7546.29</v>
      </c>
      <c r="N6" s="3">
        <v>1454258.54</v>
      </c>
      <c r="O6" s="3">
        <v>509220</v>
      </c>
      <c r="P6" s="3">
        <v>5000</v>
      </c>
      <c r="Q6" s="3">
        <v>27350</v>
      </c>
      <c r="R6" s="3"/>
      <c r="S6" s="3">
        <v>46000</v>
      </c>
      <c r="T6" s="3">
        <v>15911588.540000005</v>
      </c>
      <c r="U6" s="3">
        <v>2351200</v>
      </c>
      <c r="V6" s="3"/>
      <c r="W6" s="3">
        <v>370087</v>
      </c>
      <c r="X6" s="3">
        <v>60281</v>
      </c>
      <c r="Y6" s="3">
        <v>388725</v>
      </c>
      <c r="Z6" s="3">
        <v>674222</v>
      </c>
      <c r="AA6" s="3"/>
      <c r="AB6" s="3">
        <v>233500</v>
      </c>
      <c r="AC6" s="3"/>
      <c r="AD6" s="3"/>
      <c r="AE6" s="3">
        <v>101590</v>
      </c>
      <c r="AF6" s="3"/>
      <c r="AG6" s="3">
        <v>1507199</v>
      </c>
      <c r="AH6" s="3">
        <v>61300</v>
      </c>
      <c r="AI6" s="3"/>
      <c r="AJ6" s="3">
        <v>235384</v>
      </c>
      <c r="AK6" s="3">
        <v>82400</v>
      </c>
      <c r="AL6" s="3">
        <v>32847.47</v>
      </c>
      <c r="AM6" s="3">
        <v>81000</v>
      </c>
      <c r="AN6" s="3"/>
      <c r="AO6" s="3">
        <v>747900</v>
      </c>
      <c r="AP6" s="3">
        <v>25000</v>
      </c>
      <c r="AQ6" s="3"/>
      <c r="AR6" s="3">
        <v>1018500</v>
      </c>
      <c r="AS6" s="3">
        <v>41317</v>
      </c>
      <c r="AT6" s="3"/>
      <c r="AU6" s="3">
        <v>4300</v>
      </c>
      <c r="AV6" s="3"/>
      <c r="AW6" s="3"/>
      <c r="AX6" s="3"/>
      <c r="AY6" s="3"/>
      <c r="AZ6" s="3"/>
      <c r="BA6" s="3">
        <v>25000</v>
      </c>
      <c r="BB6" s="3">
        <v>167871</v>
      </c>
      <c r="BC6" s="3"/>
      <c r="BD6" s="3"/>
      <c r="BE6" s="5">
        <v>2</v>
      </c>
      <c r="BF6" s="5">
        <v>5</v>
      </c>
      <c r="BG6" s="5">
        <v>57</v>
      </c>
      <c r="BH6" s="5"/>
      <c r="BI6" s="5">
        <v>30</v>
      </c>
      <c r="BJ6" s="5">
        <v>4</v>
      </c>
      <c r="BK6" s="5">
        <v>112</v>
      </c>
      <c r="BL6" s="5">
        <v>7</v>
      </c>
      <c r="BM6" s="5"/>
      <c r="BN6" s="5"/>
      <c r="BO6" s="5">
        <v>8</v>
      </c>
      <c r="BP6" s="5">
        <v>139</v>
      </c>
      <c r="BQ6" s="5">
        <v>16</v>
      </c>
      <c r="BR6" s="5">
        <v>1</v>
      </c>
      <c r="BS6" s="5">
        <v>9</v>
      </c>
      <c r="BT6" s="5"/>
      <c r="BU6" s="5">
        <v>3</v>
      </c>
      <c r="BV6" s="5">
        <v>339</v>
      </c>
      <c r="BW6" s="5">
        <v>22</v>
      </c>
      <c r="BX6" s="5"/>
      <c r="BY6" s="5">
        <v>3</v>
      </c>
      <c r="BZ6" s="5">
        <v>2</v>
      </c>
      <c r="CA6" s="5">
        <v>2</v>
      </c>
      <c r="CB6" s="5">
        <v>5</v>
      </c>
      <c r="CC6" s="5"/>
      <c r="CD6" s="5">
        <v>24</v>
      </c>
      <c r="CE6" s="5"/>
      <c r="CF6" s="5"/>
      <c r="CG6" s="5">
        <v>72</v>
      </c>
      <c r="CH6" s="5"/>
      <c r="CI6" s="5">
        <v>41</v>
      </c>
      <c r="CJ6" s="5">
        <v>19</v>
      </c>
      <c r="CK6" s="5"/>
      <c r="CL6" s="5">
        <v>27</v>
      </c>
      <c r="CM6" s="5">
        <v>5</v>
      </c>
      <c r="CN6" s="5">
        <v>33</v>
      </c>
      <c r="CO6" s="5">
        <v>1</v>
      </c>
      <c r="CP6" s="5"/>
      <c r="CQ6" s="5">
        <v>11</v>
      </c>
      <c r="CR6" s="5">
        <v>1</v>
      </c>
      <c r="CS6" s="5"/>
      <c r="CT6" s="5">
        <v>19</v>
      </c>
      <c r="CU6" s="5">
        <v>10</v>
      </c>
      <c r="CV6" s="5"/>
      <c r="CW6" s="5">
        <v>8</v>
      </c>
      <c r="CX6" s="5"/>
      <c r="CY6" s="5"/>
      <c r="CZ6" s="5"/>
      <c r="DA6" s="5"/>
      <c r="DB6" s="5"/>
      <c r="DC6" s="5">
        <v>1</v>
      </c>
      <c r="DD6" s="5">
        <v>4</v>
      </c>
      <c r="DE6" s="5"/>
      <c r="DF6" s="5"/>
      <c r="DG6" s="3">
        <v>31033680.868431911</v>
      </c>
    </row>
    <row r="7" spans="1:111" ht="18" customHeight="1">
      <c r="A7" t="s">
        <v>7</v>
      </c>
      <c r="B7" s="5">
        <v>271</v>
      </c>
      <c r="C7" s="3"/>
      <c r="D7" s="3">
        <v>9113</v>
      </c>
      <c r="E7" s="3">
        <v>2200148.7916614143</v>
      </c>
      <c r="F7" s="3"/>
      <c r="G7" s="3">
        <v>196489.5</v>
      </c>
      <c r="H7" s="3"/>
      <c r="I7" s="3">
        <v>58614.659999999996</v>
      </c>
      <c r="J7" s="3">
        <v>65000</v>
      </c>
      <c r="K7" s="3"/>
      <c r="L7" s="3"/>
      <c r="M7" s="3"/>
      <c r="N7" s="3">
        <v>6500</v>
      </c>
      <c r="O7" s="3">
        <v>204133</v>
      </c>
      <c r="P7" s="3">
        <v>10218</v>
      </c>
      <c r="Q7" s="3">
        <v>1300</v>
      </c>
      <c r="R7" s="3"/>
      <c r="S7" s="3">
        <v>1816</v>
      </c>
      <c r="T7" s="3">
        <v>3952861.5100000002</v>
      </c>
      <c r="U7" s="3">
        <v>1236800</v>
      </c>
      <c r="V7" s="3"/>
      <c r="W7" s="3">
        <v>30000</v>
      </c>
      <c r="X7" s="3"/>
      <c r="Y7" s="3"/>
      <c r="Z7" s="3">
        <v>36361</v>
      </c>
      <c r="AA7" s="3"/>
      <c r="AB7" s="3">
        <v>46500</v>
      </c>
      <c r="AC7" s="3">
        <v>19146</v>
      </c>
      <c r="AD7" s="3"/>
      <c r="AE7" s="3">
        <v>21366</v>
      </c>
      <c r="AF7" s="3"/>
      <c r="AG7" s="3">
        <v>401851</v>
      </c>
      <c r="AH7" s="3"/>
      <c r="AI7" s="3"/>
      <c r="AJ7" s="3">
        <v>72740</v>
      </c>
      <c r="AK7" s="3">
        <v>6500</v>
      </c>
      <c r="AL7" s="3">
        <v>500</v>
      </c>
      <c r="AM7" s="3">
        <v>60000</v>
      </c>
      <c r="AN7" s="3">
        <v>6000</v>
      </c>
      <c r="AO7" s="3">
        <v>68200</v>
      </c>
      <c r="AP7" s="3"/>
      <c r="AQ7" s="3"/>
      <c r="AR7" s="3">
        <v>270000</v>
      </c>
      <c r="AS7" s="3"/>
      <c r="AT7" s="3"/>
      <c r="AU7" s="3">
        <v>1500</v>
      </c>
      <c r="AV7" s="3"/>
      <c r="AW7" s="3"/>
      <c r="AX7" s="3"/>
      <c r="AY7" s="3"/>
      <c r="AZ7" s="3"/>
      <c r="BA7" s="3"/>
      <c r="BB7" s="3"/>
      <c r="BC7" s="3"/>
      <c r="BD7" s="3"/>
      <c r="BE7" s="5"/>
      <c r="BF7" s="5">
        <v>1</v>
      </c>
      <c r="BG7" s="5">
        <v>48</v>
      </c>
      <c r="BH7" s="5"/>
      <c r="BI7" s="5">
        <v>4</v>
      </c>
      <c r="BJ7" s="5"/>
      <c r="BK7" s="5">
        <v>23</v>
      </c>
      <c r="BL7" s="5">
        <v>2</v>
      </c>
      <c r="BM7" s="5"/>
      <c r="BN7" s="5"/>
      <c r="BO7" s="5"/>
      <c r="BP7" s="5">
        <v>1</v>
      </c>
      <c r="BQ7" s="5">
        <v>6</v>
      </c>
      <c r="BR7" s="5">
        <v>3</v>
      </c>
      <c r="BS7" s="5">
        <v>3</v>
      </c>
      <c r="BT7" s="5"/>
      <c r="BU7" s="5">
        <v>1</v>
      </c>
      <c r="BV7" s="5">
        <v>101</v>
      </c>
      <c r="BW7" s="5">
        <v>10</v>
      </c>
      <c r="BX7" s="5"/>
      <c r="BY7" s="5">
        <v>1</v>
      </c>
      <c r="BZ7" s="5"/>
      <c r="CA7" s="5"/>
      <c r="CB7" s="5">
        <v>2</v>
      </c>
      <c r="CC7" s="5"/>
      <c r="CD7" s="5">
        <v>6</v>
      </c>
      <c r="CE7" s="5">
        <v>5</v>
      </c>
      <c r="CF7" s="5"/>
      <c r="CG7" s="5">
        <v>13</v>
      </c>
      <c r="CH7" s="5"/>
      <c r="CI7" s="5">
        <v>24</v>
      </c>
      <c r="CJ7" s="5"/>
      <c r="CK7" s="5"/>
      <c r="CL7" s="5">
        <v>6</v>
      </c>
      <c r="CM7" s="5">
        <v>1</v>
      </c>
      <c r="CN7" s="5">
        <v>1</v>
      </c>
      <c r="CO7" s="5">
        <v>1</v>
      </c>
      <c r="CP7" s="5">
        <v>1</v>
      </c>
      <c r="CQ7" s="5">
        <v>1</v>
      </c>
      <c r="CR7" s="5"/>
      <c r="CS7" s="5"/>
      <c r="CT7" s="5">
        <v>4</v>
      </c>
      <c r="CU7" s="5"/>
      <c r="CV7" s="5"/>
      <c r="CW7" s="5">
        <v>2</v>
      </c>
      <c r="CX7" s="5"/>
      <c r="CY7" s="5"/>
      <c r="CZ7" s="5"/>
      <c r="DA7" s="5"/>
      <c r="DB7" s="5"/>
      <c r="DC7" s="5"/>
      <c r="DD7" s="5"/>
      <c r="DE7" s="5"/>
      <c r="DF7" s="5"/>
      <c r="DG7" s="3">
        <v>8983658.4616614152</v>
      </c>
    </row>
    <row r="8" spans="1:111" ht="18" customHeight="1">
      <c r="A8" t="s">
        <v>8</v>
      </c>
      <c r="B8" s="5">
        <v>187</v>
      </c>
      <c r="C8" s="3"/>
      <c r="D8" s="3"/>
      <c r="E8" s="3">
        <v>411523</v>
      </c>
      <c r="F8" s="3"/>
      <c r="G8" s="3">
        <v>77859</v>
      </c>
      <c r="H8" s="3">
        <v>38791</v>
      </c>
      <c r="I8" s="3">
        <v>58743.78</v>
      </c>
      <c r="J8" s="3">
        <v>70000</v>
      </c>
      <c r="K8" s="3"/>
      <c r="L8" s="3"/>
      <c r="M8" s="3"/>
      <c r="N8" s="3"/>
      <c r="O8" s="3"/>
      <c r="P8" s="3"/>
      <c r="Q8" s="3">
        <v>1640</v>
      </c>
      <c r="R8" s="3"/>
      <c r="S8" s="3">
        <v>10000</v>
      </c>
      <c r="T8" s="3">
        <v>902371.94000000006</v>
      </c>
      <c r="U8" s="3">
        <v>465200</v>
      </c>
      <c r="V8" s="3"/>
      <c r="W8" s="3"/>
      <c r="X8" s="3"/>
      <c r="Y8" s="3"/>
      <c r="Z8" s="3"/>
      <c r="AA8" s="3"/>
      <c r="AB8" s="3">
        <v>28890</v>
      </c>
      <c r="AC8" s="3"/>
      <c r="AD8" s="3"/>
      <c r="AE8" s="3">
        <v>14750</v>
      </c>
      <c r="AF8" s="3"/>
      <c r="AG8" s="3">
        <v>210334</v>
      </c>
      <c r="AH8" s="3">
        <v>6000</v>
      </c>
      <c r="AI8" s="3">
        <v>42215.18</v>
      </c>
      <c r="AJ8" s="3">
        <v>5434</v>
      </c>
      <c r="AK8" s="3"/>
      <c r="AL8" s="3">
        <v>38118.89</v>
      </c>
      <c r="AM8" s="3"/>
      <c r="AN8" s="3"/>
      <c r="AO8" s="3"/>
      <c r="AP8" s="3">
        <v>25000</v>
      </c>
      <c r="AQ8" s="3"/>
      <c r="AR8" s="3"/>
      <c r="AS8" s="3">
        <v>2930</v>
      </c>
      <c r="AT8" s="3">
        <v>30000</v>
      </c>
      <c r="AU8" s="3">
        <v>300</v>
      </c>
      <c r="AV8" s="3"/>
      <c r="AW8" s="3"/>
      <c r="AX8" s="3"/>
      <c r="AY8" s="3"/>
      <c r="AZ8" s="3"/>
      <c r="BA8" s="3"/>
      <c r="BB8" s="3"/>
      <c r="BC8" s="3"/>
      <c r="BD8" s="3">
        <v>34437.130000000005</v>
      </c>
      <c r="BE8" s="5"/>
      <c r="BF8" s="5"/>
      <c r="BG8" s="5">
        <v>10</v>
      </c>
      <c r="BH8" s="5"/>
      <c r="BI8" s="5">
        <v>1</v>
      </c>
      <c r="BJ8" s="5">
        <v>1</v>
      </c>
      <c r="BK8" s="5">
        <v>27</v>
      </c>
      <c r="BL8" s="5">
        <v>1</v>
      </c>
      <c r="BM8" s="5"/>
      <c r="BN8" s="5"/>
      <c r="BO8" s="5"/>
      <c r="BP8" s="5"/>
      <c r="BQ8" s="5"/>
      <c r="BR8" s="5"/>
      <c r="BS8" s="5">
        <v>3</v>
      </c>
      <c r="BT8" s="5"/>
      <c r="BU8" s="5">
        <v>1</v>
      </c>
      <c r="BV8" s="5">
        <v>31</v>
      </c>
      <c r="BW8" s="5">
        <v>8</v>
      </c>
      <c r="BX8" s="5"/>
      <c r="BY8" s="5"/>
      <c r="BZ8" s="5"/>
      <c r="CA8" s="5"/>
      <c r="CB8" s="5"/>
      <c r="CC8" s="5"/>
      <c r="CD8" s="5">
        <v>6</v>
      </c>
      <c r="CE8" s="5"/>
      <c r="CF8" s="5"/>
      <c r="CG8" s="5">
        <v>12</v>
      </c>
      <c r="CH8" s="5"/>
      <c r="CI8" s="5">
        <v>5</v>
      </c>
      <c r="CJ8" s="5">
        <v>3</v>
      </c>
      <c r="CK8" s="5">
        <v>14</v>
      </c>
      <c r="CL8" s="5">
        <v>2</v>
      </c>
      <c r="CM8" s="5"/>
      <c r="CN8" s="5">
        <v>42</v>
      </c>
      <c r="CO8" s="5"/>
      <c r="CP8" s="5"/>
      <c r="CQ8" s="5"/>
      <c r="CR8" s="5">
        <v>1</v>
      </c>
      <c r="CS8" s="5"/>
      <c r="CT8" s="5"/>
      <c r="CU8" s="5">
        <v>2</v>
      </c>
      <c r="CV8" s="5">
        <v>1</v>
      </c>
      <c r="CW8" s="5">
        <v>1</v>
      </c>
      <c r="CX8" s="5"/>
      <c r="CY8" s="5"/>
      <c r="CZ8" s="5"/>
      <c r="DA8" s="5"/>
      <c r="DB8" s="5"/>
      <c r="DC8" s="5"/>
      <c r="DD8" s="5"/>
      <c r="DE8" s="5"/>
      <c r="DF8" s="5">
        <v>15</v>
      </c>
      <c r="DG8" s="3">
        <v>2474537.9200000004</v>
      </c>
    </row>
    <row r="9" spans="1:111" ht="18" customHeight="1">
      <c r="A9" t="s">
        <v>9</v>
      </c>
      <c r="B9" s="5">
        <v>395</v>
      </c>
      <c r="C9" s="3"/>
      <c r="D9" s="3">
        <v>3730</v>
      </c>
      <c r="E9" s="3">
        <v>144789</v>
      </c>
      <c r="F9" s="3"/>
      <c r="G9" s="3">
        <v>288518</v>
      </c>
      <c r="H9" s="3">
        <v>150000</v>
      </c>
      <c r="I9" s="3">
        <v>79993.310000000012</v>
      </c>
      <c r="J9" s="3">
        <v>400000</v>
      </c>
      <c r="K9" s="3"/>
      <c r="L9" s="3"/>
      <c r="M9" s="3"/>
      <c r="N9" s="3"/>
      <c r="O9" s="3">
        <v>14868</v>
      </c>
      <c r="P9" s="3">
        <v>5000</v>
      </c>
      <c r="Q9" s="3">
        <v>1000</v>
      </c>
      <c r="R9" s="3"/>
      <c r="S9" s="3">
        <v>10000</v>
      </c>
      <c r="T9" s="3">
        <v>7181380.8500000006</v>
      </c>
      <c r="U9" s="3">
        <v>461600</v>
      </c>
      <c r="V9" s="3"/>
      <c r="W9" s="3">
        <v>15000</v>
      </c>
      <c r="X9" s="3">
        <v>75500</v>
      </c>
      <c r="Y9" s="3"/>
      <c r="Z9" s="3"/>
      <c r="AA9" s="3"/>
      <c r="AB9" s="3">
        <v>151960</v>
      </c>
      <c r="AC9" s="3"/>
      <c r="AD9" s="3"/>
      <c r="AE9" s="3"/>
      <c r="AF9" s="3">
        <v>321045.63</v>
      </c>
      <c r="AG9" s="3">
        <v>209739</v>
      </c>
      <c r="AH9" s="3">
        <v>4500</v>
      </c>
      <c r="AI9" s="3"/>
      <c r="AJ9" s="3">
        <v>79654</v>
      </c>
      <c r="AK9" s="3">
        <v>20000</v>
      </c>
      <c r="AL9" s="3"/>
      <c r="AM9" s="3">
        <v>21611</v>
      </c>
      <c r="AN9" s="3"/>
      <c r="AO9" s="3">
        <v>119900</v>
      </c>
      <c r="AP9" s="3">
        <v>20000</v>
      </c>
      <c r="AQ9" s="3"/>
      <c r="AR9" s="3"/>
      <c r="AS9" s="3">
        <v>8000</v>
      </c>
      <c r="AT9" s="3"/>
      <c r="AU9" s="3"/>
      <c r="AV9" s="3"/>
      <c r="AW9" s="3"/>
      <c r="AX9" s="3"/>
      <c r="AY9" s="3"/>
      <c r="AZ9" s="3"/>
      <c r="BA9" s="3"/>
      <c r="BB9" s="3"/>
      <c r="BC9" s="3"/>
      <c r="BD9" s="3"/>
      <c r="BE9" s="5"/>
      <c r="BF9" s="5">
        <v>2</v>
      </c>
      <c r="BG9" s="5">
        <v>13</v>
      </c>
      <c r="BH9" s="5"/>
      <c r="BI9" s="5">
        <v>6</v>
      </c>
      <c r="BJ9" s="5">
        <v>1</v>
      </c>
      <c r="BK9" s="5">
        <v>40</v>
      </c>
      <c r="BL9" s="5">
        <v>2</v>
      </c>
      <c r="BM9" s="5"/>
      <c r="BN9" s="5"/>
      <c r="BO9" s="5"/>
      <c r="BP9" s="5"/>
      <c r="BQ9" s="5">
        <v>1</v>
      </c>
      <c r="BR9" s="5">
        <v>1</v>
      </c>
      <c r="BS9" s="5">
        <v>1</v>
      </c>
      <c r="BT9" s="5"/>
      <c r="BU9" s="5">
        <v>1</v>
      </c>
      <c r="BV9" s="5">
        <v>157</v>
      </c>
      <c r="BW9" s="5">
        <v>13</v>
      </c>
      <c r="BX9" s="5"/>
      <c r="BY9" s="5">
        <v>1</v>
      </c>
      <c r="BZ9" s="5">
        <v>2</v>
      </c>
      <c r="CA9" s="5"/>
      <c r="CB9" s="5"/>
      <c r="CC9" s="5"/>
      <c r="CD9" s="5">
        <v>21</v>
      </c>
      <c r="CE9" s="5"/>
      <c r="CF9" s="5"/>
      <c r="CG9" s="5"/>
      <c r="CH9" s="5">
        <v>100</v>
      </c>
      <c r="CI9" s="5">
        <v>14</v>
      </c>
      <c r="CJ9" s="5">
        <v>2</v>
      </c>
      <c r="CK9" s="5"/>
      <c r="CL9" s="5">
        <v>10</v>
      </c>
      <c r="CM9" s="5">
        <v>1</v>
      </c>
      <c r="CN9" s="5"/>
      <c r="CO9" s="5">
        <v>1</v>
      </c>
      <c r="CP9" s="5"/>
      <c r="CQ9" s="5">
        <v>2</v>
      </c>
      <c r="CR9" s="5">
        <v>1</v>
      </c>
      <c r="CS9" s="5"/>
      <c r="CT9" s="5"/>
      <c r="CU9" s="5">
        <v>2</v>
      </c>
      <c r="CV9" s="5"/>
      <c r="CW9" s="5"/>
      <c r="CX9" s="5"/>
      <c r="CY9" s="5"/>
      <c r="CZ9" s="5"/>
      <c r="DA9" s="5"/>
      <c r="DB9" s="5"/>
      <c r="DC9" s="5"/>
      <c r="DD9" s="5"/>
      <c r="DE9" s="5"/>
      <c r="DF9" s="5"/>
      <c r="DG9" s="3">
        <v>9787788.790000001</v>
      </c>
    </row>
    <row r="10" spans="1:111" ht="18" customHeight="1">
      <c r="A10" t="s">
        <v>10</v>
      </c>
      <c r="B10" s="5">
        <v>389</v>
      </c>
      <c r="C10" s="3"/>
      <c r="D10" s="3">
        <v>11740</v>
      </c>
      <c r="E10" s="3">
        <v>503316</v>
      </c>
      <c r="F10" s="3"/>
      <c r="G10" s="3">
        <v>127410</v>
      </c>
      <c r="H10" s="3">
        <v>38302</v>
      </c>
      <c r="I10" s="3">
        <v>140210.73000000001</v>
      </c>
      <c r="J10" s="3"/>
      <c r="K10" s="3"/>
      <c r="L10" s="3"/>
      <c r="M10" s="3"/>
      <c r="N10" s="3"/>
      <c r="O10" s="3">
        <v>15000</v>
      </c>
      <c r="P10" s="3">
        <v>5000</v>
      </c>
      <c r="Q10" s="3"/>
      <c r="R10" s="3">
        <v>2600</v>
      </c>
      <c r="S10" s="3">
        <v>14000</v>
      </c>
      <c r="T10" s="3">
        <v>5000268.5999999996</v>
      </c>
      <c r="U10" s="3">
        <v>2224100</v>
      </c>
      <c r="V10" s="3"/>
      <c r="W10" s="3"/>
      <c r="X10" s="3"/>
      <c r="Y10" s="3"/>
      <c r="Z10" s="3">
        <v>10000</v>
      </c>
      <c r="AA10" s="3">
        <v>8000</v>
      </c>
      <c r="AB10" s="3">
        <v>22500</v>
      </c>
      <c r="AC10" s="3">
        <v>15000</v>
      </c>
      <c r="AD10" s="3"/>
      <c r="AE10" s="3">
        <v>2000</v>
      </c>
      <c r="AF10" s="3"/>
      <c r="AG10" s="3">
        <v>549781</v>
      </c>
      <c r="AH10" s="3">
        <v>1200</v>
      </c>
      <c r="AI10" s="3"/>
      <c r="AJ10" s="3">
        <v>40500</v>
      </c>
      <c r="AK10" s="3">
        <v>25000</v>
      </c>
      <c r="AL10" s="3"/>
      <c r="AM10" s="3">
        <v>15000</v>
      </c>
      <c r="AN10" s="3"/>
      <c r="AO10" s="3"/>
      <c r="AP10" s="3"/>
      <c r="AQ10" s="3"/>
      <c r="AR10" s="3">
        <v>72000</v>
      </c>
      <c r="AS10" s="3"/>
      <c r="AT10" s="3">
        <v>46000</v>
      </c>
      <c r="AU10" s="3">
        <v>2000</v>
      </c>
      <c r="AV10" s="3"/>
      <c r="AW10" s="3"/>
      <c r="AX10" s="3"/>
      <c r="AY10" s="3"/>
      <c r="AZ10" s="3"/>
      <c r="BA10" s="3"/>
      <c r="BB10" s="3"/>
      <c r="BC10" s="3"/>
      <c r="BD10" s="3">
        <v>439978.36000000004</v>
      </c>
      <c r="BE10" s="5"/>
      <c r="BF10" s="5">
        <v>3</v>
      </c>
      <c r="BG10" s="5">
        <v>24</v>
      </c>
      <c r="BH10" s="5"/>
      <c r="BI10" s="5">
        <v>4</v>
      </c>
      <c r="BJ10" s="5">
        <v>1</v>
      </c>
      <c r="BK10" s="5">
        <v>63</v>
      </c>
      <c r="BL10" s="5"/>
      <c r="BM10" s="5"/>
      <c r="BN10" s="5"/>
      <c r="BO10" s="5"/>
      <c r="BP10" s="5"/>
      <c r="BQ10" s="5">
        <v>1</v>
      </c>
      <c r="BR10" s="5">
        <v>1</v>
      </c>
      <c r="BS10" s="5"/>
      <c r="BT10" s="5">
        <v>1</v>
      </c>
      <c r="BU10" s="5">
        <v>1</v>
      </c>
      <c r="BV10" s="5">
        <v>101</v>
      </c>
      <c r="BW10" s="5">
        <v>19</v>
      </c>
      <c r="BX10" s="5"/>
      <c r="BY10" s="5"/>
      <c r="BZ10" s="5"/>
      <c r="CA10" s="5"/>
      <c r="CB10" s="5">
        <v>1</v>
      </c>
      <c r="CC10" s="5">
        <v>2</v>
      </c>
      <c r="CD10" s="5">
        <v>2</v>
      </c>
      <c r="CE10" s="5">
        <v>3</v>
      </c>
      <c r="CF10" s="5"/>
      <c r="CG10" s="5">
        <v>2</v>
      </c>
      <c r="CH10" s="5"/>
      <c r="CI10" s="5">
        <v>17</v>
      </c>
      <c r="CJ10" s="5">
        <v>1</v>
      </c>
      <c r="CK10" s="5"/>
      <c r="CL10" s="5">
        <v>4</v>
      </c>
      <c r="CM10" s="5">
        <v>2</v>
      </c>
      <c r="CN10" s="5"/>
      <c r="CO10" s="5">
        <v>1</v>
      </c>
      <c r="CP10" s="5"/>
      <c r="CQ10" s="5"/>
      <c r="CR10" s="5"/>
      <c r="CS10" s="5"/>
      <c r="CT10" s="5">
        <v>1</v>
      </c>
      <c r="CU10" s="5"/>
      <c r="CV10" s="5">
        <v>2</v>
      </c>
      <c r="CW10" s="5">
        <v>2</v>
      </c>
      <c r="CX10" s="5"/>
      <c r="CY10" s="5"/>
      <c r="CZ10" s="5"/>
      <c r="DA10" s="5"/>
      <c r="DB10" s="5"/>
      <c r="DC10" s="5"/>
      <c r="DD10" s="5"/>
      <c r="DE10" s="5"/>
      <c r="DF10" s="5">
        <v>130</v>
      </c>
      <c r="DG10" s="3">
        <v>9330906.6899999995</v>
      </c>
    </row>
    <row r="11" spans="1:111" ht="18" customHeight="1">
      <c r="A11" t="s">
        <v>11</v>
      </c>
      <c r="B11" s="5">
        <v>178</v>
      </c>
      <c r="C11" s="3"/>
      <c r="D11" s="3"/>
      <c r="E11" s="3">
        <v>277592.82195358363</v>
      </c>
      <c r="F11" s="3"/>
      <c r="G11" s="3">
        <v>157820</v>
      </c>
      <c r="H11" s="3">
        <v>98000</v>
      </c>
      <c r="I11" s="3">
        <v>112757.37999999998</v>
      </c>
      <c r="J11" s="3">
        <v>60000</v>
      </c>
      <c r="K11" s="3"/>
      <c r="L11" s="3"/>
      <c r="M11" s="3"/>
      <c r="N11" s="3"/>
      <c r="O11" s="3">
        <v>73340</v>
      </c>
      <c r="P11" s="3">
        <v>500</v>
      </c>
      <c r="Q11" s="3"/>
      <c r="R11" s="3"/>
      <c r="S11" s="3"/>
      <c r="T11" s="3">
        <v>1121660.08</v>
      </c>
      <c r="U11" s="3">
        <v>1560800</v>
      </c>
      <c r="V11" s="3"/>
      <c r="W11" s="3"/>
      <c r="X11" s="3"/>
      <c r="Y11" s="3"/>
      <c r="Z11" s="3"/>
      <c r="AA11" s="3"/>
      <c r="AB11" s="3">
        <v>15000</v>
      </c>
      <c r="AC11" s="3"/>
      <c r="AD11" s="3"/>
      <c r="AE11" s="3">
        <v>8500</v>
      </c>
      <c r="AF11" s="3"/>
      <c r="AG11" s="3">
        <v>848992</v>
      </c>
      <c r="AH11" s="3">
        <v>5000</v>
      </c>
      <c r="AI11" s="3"/>
      <c r="AJ11" s="3"/>
      <c r="AK11" s="3"/>
      <c r="AL11" s="3"/>
      <c r="AM11" s="3"/>
      <c r="AN11" s="3"/>
      <c r="AO11" s="3"/>
      <c r="AP11" s="3"/>
      <c r="AQ11" s="3"/>
      <c r="AR11" s="3"/>
      <c r="AS11" s="3">
        <v>975</v>
      </c>
      <c r="AT11" s="3">
        <v>0</v>
      </c>
      <c r="AU11" s="3"/>
      <c r="AV11" s="3"/>
      <c r="AW11" s="3"/>
      <c r="AX11" s="3"/>
      <c r="AY11" s="3"/>
      <c r="AZ11" s="3"/>
      <c r="BA11" s="3"/>
      <c r="BB11" s="3"/>
      <c r="BC11" s="3"/>
      <c r="BD11" s="3">
        <v>67557.17</v>
      </c>
      <c r="BE11" s="5"/>
      <c r="BF11" s="5"/>
      <c r="BG11" s="5">
        <v>9</v>
      </c>
      <c r="BH11" s="5"/>
      <c r="BI11" s="5">
        <v>2</v>
      </c>
      <c r="BJ11" s="5">
        <v>1</v>
      </c>
      <c r="BK11" s="5">
        <v>33</v>
      </c>
      <c r="BL11" s="5">
        <v>1</v>
      </c>
      <c r="BM11" s="5"/>
      <c r="BN11" s="5"/>
      <c r="BO11" s="5"/>
      <c r="BP11" s="5"/>
      <c r="BQ11" s="5">
        <v>1</v>
      </c>
      <c r="BR11" s="5">
        <v>1</v>
      </c>
      <c r="BS11" s="5"/>
      <c r="BT11" s="5"/>
      <c r="BU11" s="5"/>
      <c r="BV11" s="5">
        <v>67</v>
      </c>
      <c r="BW11" s="5">
        <v>12</v>
      </c>
      <c r="BX11" s="5"/>
      <c r="BY11" s="5"/>
      <c r="BZ11" s="5"/>
      <c r="CA11" s="5"/>
      <c r="CB11" s="5"/>
      <c r="CC11" s="5"/>
      <c r="CD11" s="5">
        <v>2</v>
      </c>
      <c r="CE11" s="5"/>
      <c r="CF11" s="5"/>
      <c r="CG11" s="5">
        <v>8</v>
      </c>
      <c r="CH11" s="5"/>
      <c r="CI11" s="5">
        <v>11</v>
      </c>
      <c r="CJ11" s="5">
        <v>1</v>
      </c>
      <c r="CK11" s="5"/>
      <c r="CL11" s="5"/>
      <c r="CM11" s="5"/>
      <c r="CN11" s="5"/>
      <c r="CO11" s="5"/>
      <c r="CP11" s="5"/>
      <c r="CQ11" s="5"/>
      <c r="CR11" s="5"/>
      <c r="CS11" s="5"/>
      <c r="CT11" s="5"/>
      <c r="CU11" s="5">
        <v>1</v>
      </c>
      <c r="CV11" s="5">
        <v>1</v>
      </c>
      <c r="CW11" s="5"/>
      <c r="CX11" s="5"/>
      <c r="CY11" s="5"/>
      <c r="CZ11" s="5"/>
      <c r="DA11" s="5"/>
      <c r="DB11" s="5"/>
      <c r="DC11" s="5"/>
      <c r="DD11" s="5"/>
      <c r="DE11" s="5"/>
      <c r="DF11" s="5">
        <v>27</v>
      </c>
      <c r="DG11" s="3">
        <v>4408494.4519535834</v>
      </c>
    </row>
    <row r="12" spans="1:111" ht="18" customHeight="1">
      <c r="A12" t="s">
        <v>12</v>
      </c>
      <c r="B12" s="5">
        <v>406</v>
      </c>
      <c r="C12" s="3"/>
      <c r="D12" s="3"/>
      <c r="E12" s="3">
        <v>468352</v>
      </c>
      <c r="F12" s="3">
        <v>15000</v>
      </c>
      <c r="G12" s="3">
        <v>120132</v>
      </c>
      <c r="H12" s="3"/>
      <c r="I12" s="3">
        <v>79685.739999999991</v>
      </c>
      <c r="J12" s="3">
        <v>454835</v>
      </c>
      <c r="K12" s="3"/>
      <c r="L12" s="3"/>
      <c r="M12" s="3">
        <v>4390</v>
      </c>
      <c r="N12" s="3">
        <v>720</v>
      </c>
      <c r="O12" s="3">
        <v>60000</v>
      </c>
      <c r="P12" s="3">
        <v>2431</v>
      </c>
      <c r="Q12" s="3">
        <v>25</v>
      </c>
      <c r="R12" s="3"/>
      <c r="S12" s="3"/>
      <c r="T12" s="3">
        <v>8161205.1100000003</v>
      </c>
      <c r="U12" s="3">
        <v>1388900</v>
      </c>
      <c r="V12" s="3"/>
      <c r="W12" s="3"/>
      <c r="X12" s="3"/>
      <c r="Y12" s="3"/>
      <c r="Z12" s="3">
        <v>119000</v>
      </c>
      <c r="AA12" s="3"/>
      <c r="AB12" s="3">
        <v>519680</v>
      </c>
      <c r="AC12" s="3"/>
      <c r="AD12" s="3"/>
      <c r="AE12" s="3">
        <v>45970</v>
      </c>
      <c r="AF12" s="3"/>
      <c r="AG12" s="3">
        <v>676709</v>
      </c>
      <c r="AH12" s="3">
        <v>303675</v>
      </c>
      <c r="AI12" s="3"/>
      <c r="AJ12" s="3">
        <v>47302</v>
      </c>
      <c r="AK12" s="3">
        <v>25000</v>
      </c>
      <c r="AL12" s="3">
        <v>623</v>
      </c>
      <c r="AM12" s="3"/>
      <c r="AN12" s="3"/>
      <c r="AO12" s="3"/>
      <c r="AP12" s="3">
        <v>45000</v>
      </c>
      <c r="AQ12" s="3"/>
      <c r="AR12" s="3"/>
      <c r="AS12" s="3">
        <v>1500</v>
      </c>
      <c r="AT12" s="3"/>
      <c r="AU12" s="3">
        <v>500</v>
      </c>
      <c r="AV12" s="3"/>
      <c r="AW12" s="3"/>
      <c r="AX12" s="3"/>
      <c r="AY12" s="3"/>
      <c r="AZ12" s="3">
        <v>4700</v>
      </c>
      <c r="BA12" s="3"/>
      <c r="BB12" s="3"/>
      <c r="BC12" s="3"/>
      <c r="BD12" s="3">
        <v>667199.43999999994</v>
      </c>
      <c r="BE12" s="5"/>
      <c r="BF12" s="5"/>
      <c r="BG12" s="5">
        <v>22</v>
      </c>
      <c r="BH12" s="5">
        <v>1</v>
      </c>
      <c r="BI12" s="5">
        <v>1</v>
      </c>
      <c r="BJ12" s="5"/>
      <c r="BK12" s="5">
        <v>41</v>
      </c>
      <c r="BL12" s="5">
        <v>1</v>
      </c>
      <c r="BM12" s="5"/>
      <c r="BN12" s="5"/>
      <c r="BO12" s="5">
        <v>5</v>
      </c>
      <c r="BP12" s="5">
        <v>1</v>
      </c>
      <c r="BQ12" s="5">
        <v>1</v>
      </c>
      <c r="BR12" s="5">
        <v>1</v>
      </c>
      <c r="BS12" s="5">
        <v>1</v>
      </c>
      <c r="BT12" s="5"/>
      <c r="BU12" s="5"/>
      <c r="BV12" s="5">
        <v>43</v>
      </c>
      <c r="BW12" s="5">
        <v>10</v>
      </c>
      <c r="BX12" s="5"/>
      <c r="BY12" s="5"/>
      <c r="BZ12" s="5"/>
      <c r="CA12" s="5"/>
      <c r="CB12" s="5">
        <v>1</v>
      </c>
      <c r="CC12" s="5"/>
      <c r="CD12" s="5">
        <v>35</v>
      </c>
      <c r="CE12" s="5"/>
      <c r="CF12" s="5"/>
      <c r="CG12" s="5">
        <v>35</v>
      </c>
      <c r="CH12" s="5"/>
      <c r="CI12" s="5">
        <v>20</v>
      </c>
      <c r="CJ12" s="5">
        <v>77</v>
      </c>
      <c r="CK12" s="5"/>
      <c r="CL12" s="5">
        <v>7</v>
      </c>
      <c r="CM12" s="5">
        <v>1</v>
      </c>
      <c r="CN12" s="5">
        <v>1</v>
      </c>
      <c r="CO12" s="5"/>
      <c r="CP12" s="5"/>
      <c r="CQ12" s="5"/>
      <c r="CR12" s="5">
        <v>1</v>
      </c>
      <c r="CS12" s="5"/>
      <c r="CT12" s="5"/>
      <c r="CU12" s="5">
        <v>1</v>
      </c>
      <c r="CV12" s="5"/>
      <c r="CW12" s="5">
        <v>1</v>
      </c>
      <c r="CX12" s="5"/>
      <c r="CY12" s="5"/>
      <c r="CZ12" s="5"/>
      <c r="DA12" s="5"/>
      <c r="DB12" s="5">
        <v>1</v>
      </c>
      <c r="DC12" s="5"/>
      <c r="DD12" s="5"/>
      <c r="DE12" s="5"/>
      <c r="DF12" s="5">
        <v>97</v>
      </c>
      <c r="DG12" s="3">
        <v>13212534.289999999</v>
      </c>
    </row>
    <row r="13" spans="1:111" ht="18" customHeight="1">
      <c r="A13" t="s">
        <v>13</v>
      </c>
      <c r="B13" s="5">
        <v>505</v>
      </c>
      <c r="C13" s="3"/>
      <c r="D13" s="3">
        <v>18512</v>
      </c>
      <c r="E13" s="3">
        <v>3559492</v>
      </c>
      <c r="F13" s="3"/>
      <c r="G13" s="3">
        <v>236707.5</v>
      </c>
      <c r="H13" s="3">
        <v>329750</v>
      </c>
      <c r="I13" s="3">
        <v>21295.69</v>
      </c>
      <c r="J13" s="3">
        <v>454191</v>
      </c>
      <c r="K13" s="3"/>
      <c r="L13" s="3"/>
      <c r="M13" s="3"/>
      <c r="N13" s="3">
        <v>4975</v>
      </c>
      <c r="O13" s="3">
        <v>275936</v>
      </c>
      <c r="P13" s="3">
        <v>5506</v>
      </c>
      <c r="Q13" s="3"/>
      <c r="R13" s="3"/>
      <c r="S13" s="3">
        <v>22000</v>
      </c>
      <c r="T13" s="3">
        <v>11343277.909999998</v>
      </c>
      <c r="U13" s="3">
        <v>3828200</v>
      </c>
      <c r="V13" s="3">
        <v>124560</v>
      </c>
      <c r="W13" s="3"/>
      <c r="X13" s="3">
        <v>470000</v>
      </c>
      <c r="Y13" s="3"/>
      <c r="Z13" s="3">
        <v>80000</v>
      </c>
      <c r="AA13" s="3"/>
      <c r="AB13" s="3">
        <v>112400</v>
      </c>
      <c r="AC13" s="3"/>
      <c r="AD13" s="3">
        <v>55000</v>
      </c>
      <c r="AE13" s="3"/>
      <c r="AF13" s="3"/>
      <c r="AG13" s="3">
        <v>502985</v>
      </c>
      <c r="AH13" s="3">
        <v>62900</v>
      </c>
      <c r="AI13" s="3"/>
      <c r="AJ13" s="3">
        <v>67649</v>
      </c>
      <c r="AK13" s="3">
        <v>116600</v>
      </c>
      <c r="AL13" s="3"/>
      <c r="AM13" s="3"/>
      <c r="AN13" s="3"/>
      <c r="AO13" s="3">
        <v>90100</v>
      </c>
      <c r="AP13" s="3"/>
      <c r="AQ13" s="3"/>
      <c r="AR13" s="3">
        <v>296500</v>
      </c>
      <c r="AS13" s="3"/>
      <c r="AT13" s="3">
        <v>90000</v>
      </c>
      <c r="AU13" s="3">
        <v>2000</v>
      </c>
      <c r="AV13" s="3"/>
      <c r="AW13" s="3"/>
      <c r="AX13" s="3"/>
      <c r="AY13" s="3"/>
      <c r="AZ13" s="3"/>
      <c r="BA13" s="3"/>
      <c r="BB13" s="3">
        <v>2430</v>
      </c>
      <c r="BC13" s="3"/>
      <c r="BD13" s="3">
        <v>389970.35000000003</v>
      </c>
      <c r="BE13" s="5"/>
      <c r="BF13" s="5">
        <v>4</v>
      </c>
      <c r="BG13" s="5">
        <v>46</v>
      </c>
      <c r="BH13" s="5"/>
      <c r="BI13" s="5">
        <v>9</v>
      </c>
      <c r="BJ13" s="5">
        <v>5</v>
      </c>
      <c r="BK13" s="5">
        <v>11</v>
      </c>
      <c r="BL13" s="5">
        <v>5</v>
      </c>
      <c r="BM13" s="5"/>
      <c r="BN13" s="5"/>
      <c r="BO13" s="5"/>
      <c r="BP13" s="5">
        <v>1</v>
      </c>
      <c r="BQ13" s="5">
        <v>5</v>
      </c>
      <c r="BR13" s="5">
        <v>2</v>
      </c>
      <c r="BS13" s="5"/>
      <c r="BT13" s="5"/>
      <c r="BU13" s="5">
        <v>2</v>
      </c>
      <c r="BV13" s="5">
        <v>206</v>
      </c>
      <c r="BW13" s="5">
        <v>12</v>
      </c>
      <c r="BX13" s="5">
        <v>1</v>
      </c>
      <c r="BY13" s="5"/>
      <c r="BZ13" s="5">
        <v>3</v>
      </c>
      <c r="CA13" s="5"/>
      <c r="CB13" s="5">
        <v>1</v>
      </c>
      <c r="CC13" s="5"/>
      <c r="CD13" s="5">
        <v>10</v>
      </c>
      <c r="CE13" s="5"/>
      <c r="CF13" s="5">
        <v>2</v>
      </c>
      <c r="CG13" s="5"/>
      <c r="CH13" s="5"/>
      <c r="CI13" s="5">
        <v>17</v>
      </c>
      <c r="CJ13" s="5">
        <v>19</v>
      </c>
      <c r="CK13" s="5"/>
      <c r="CL13" s="5">
        <v>9</v>
      </c>
      <c r="CM13" s="5">
        <v>3</v>
      </c>
      <c r="CN13" s="5"/>
      <c r="CO13" s="5"/>
      <c r="CP13" s="5"/>
      <c r="CQ13" s="5">
        <v>2</v>
      </c>
      <c r="CR13" s="5"/>
      <c r="CS13" s="5"/>
      <c r="CT13" s="5">
        <v>9</v>
      </c>
      <c r="CU13" s="5"/>
      <c r="CV13" s="5">
        <v>2</v>
      </c>
      <c r="CW13" s="5">
        <v>2</v>
      </c>
      <c r="CX13" s="5"/>
      <c r="CY13" s="5"/>
      <c r="CZ13" s="5"/>
      <c r="DA13" s="5"/>
      <c r="DB13" s="5"/>
      <c r="DC13" s="5"/>
      <c r="DD13" s="5">
        <v>1</v>
      </c>
      <c r="DE13" s="5"/>
      <c r="DF13" s="5">
        <v>116</v>
      </c>
      <c r="DG13" s="3">
        <v>22562937.449999999</v>
      </c>
    </row>
    <row r="14" spans="1:111" ht="18" customHeight="1">
      <c r="A14" t="s">
        <v>14</v>
      </c>
      <c r="B14" s="5">
        <v>440</v>
      </c>
      <c r="C14" s="3">
        <v>10000</v>
      </c>
      <c r="D14" s="3">
        <v>37400</v>
      </c>
      <c r="E14" s="3">
        <v>1193777</v>
      </c>
      <c r="F14" s="3"/>
      <c r="G14" s="3">
        <v>405468</v>
      </c>
      <c r="H14" s="3"/>
      <c r="I14" s="3">
        <v>164715.61000000002</v>
      </c>
      <c r="J14" s="3">
        <v>116337</v>
      </c>
      <c r="K14" s="3"/>
      <c r="L14" s="3"/>
      <c r="M14" s="3"/>
      <c r="N14" s="3">
        <v>138573</v>
      </c>
      <c r="O14" s="3">
        <v>228492</v>
      </c>
      <c r="P14" s="3">
        <v>3290</v>
      </c>
      <c r="Q14" s="3"/>
      <c r="R14" s="3"/>
      <c r="S14" s="3">
        <v>10000</v>
      </c>
      <c r="T14" s="3">
        <v>9964754.6300000008</v>
      </c>
      <c r="U14" s="3">
        <v>1944500</v>
      </c>
      <c r="V14" s="3"/>
      <c r="W14" s="3"/>
      <c r="X14" s="3"/>
      <c r="Y14" s="3"/>
      <c r="Z14" s="3">
        <v>273002</v>
      </c>
      <c r="AA14" s="3"/>
      <c r="AB14" s="3">
        <v>35000</v>
      </c>
      <c r="AC14" s="3">
        <v>1000</v>
      </c>
      <c r="AD14" s="3"/>
      <c r="AE14" s="3">
        <v>46325</v>
      </c>
      <c r="AF14" s="3"/>
      <c r="AG14" s="3">
        <v>301374</v>
      </c>
      <c r="AH14" s="3">
        <v>5000</v>
      </c>
      <c r="AI14" s="3"/>
      <c r="AJ14" s="3">
        <v>60916</v>
      </c>
      <c r="AK14" s="3">
        <v>37000</v>
      </c>
      <c r="AL14" s="3"/>
      <c r="AM14" s="3"/>
      <c r="AN14" s="3"/>
      <c r="AO14" s="3">
        <v>74500</v>
      </c>
      <c r="AP14" s="3"/>
      <c r="AQ14" s="3"/>
      <c r="AR14" s="3">
        <v>187500</v>
      </c>
      <c r="AS14" s="3">
        <v>3395</v>
      </c>
      <c r="AT14" s="3"/>
      <c r="AU14" s="3"/>
      <c r="AV14" s="3"/>
      <c r="AW14" s="3"/>
      <c r="AX14" s="3"/>
      <c r="AY14" s="3"/>
      <c r="AZ14" s="3"/>
      <c r="BA14" s="3"/>
      <c r="BB14" s="3"/>
      <c r="BC14" s="3"/>
      <c r="BD14" s="3"/>
      <c r="BE14" s="5">
        <v>1</v>
      </c>
      <c r="BF14" s="5">
        <v>8</v>
      </c>
      <c r="BG14" s="5">
        <v>52</v>
      </c>
      <c r="BH14" s="5"/>
      <c r="BI14" s="5">
        <v>7</v>
      </c>
      <c r="BJ14" s="5"/>
      <c r="BK14" s="5">
        <v>61</v>
      </c>
      <c r="BL14" s="5">
        <v>2</v>
      </c>
      <c r="BM14" s="5"/>
      <c r="BN14" s="5"/>
      <c r="BO14" s="5"/>
      <c r="BP14" s="5">
        <v>8</v>
      </c>
      <c r="BQ14" s="5">
        <v>5</v>
      </c>
      <c r="BR14" s="5">
        <v>1</v>
      </c>
      <c r="BS14" s="5"/>
      <c r="BT14" s="5"/>
      <c r="BU14" s="5">
        <v>1</v>
      </c>
      <c r="BV14" s="5">
        <v>197</v>
      </c>
      <c r="BW14" s="5">
        <v>25</v>
      </c>
      <c r="BX14" s="5"/>
      <c r="BY14" s="5"/>
      <c r="BZ14" s="5"/>
      <c r="CA14" s="5"/>
      <c r="CB14" s="5">
        <v>1</v>
      </c>
      <c r="CC14" s="5"/>
      <c r="CD14" s="5">
        <v>5</v>
      </c>
      <c r="CE14" s="5">
        <v>1</v>
      </c>
      <c r="CF14" s="5"/>
      <c r="CG14" s="5">
        <v>31</v>
      </c>
      <c r="CH14" s="5"/>
      <c r="CI14" s="5">
        <v>18</v>
      </c>
      <c r="CJ14" s="5">
        <v>1</v>
      </c>
      <c r="CK14" s="5"/>
      <c r="CL14" s="5">
        <v>6</v>
      </c>
      <c r="CM14" s="5">
        <v>2</v>
      </c>
      <c r="CN14" s="5"/>
      <c r="CO14" s="5"/>
      <c r="CP14" s="5"/>
      <c r="CQ14" s="5">
        <v>2</v>
      </c>
      <c r="CR14" s="5"/>
      <c r="CS14" s="5"/>
      <c r="CT14" s="5">
        <v>4</v>
      </c>
      <c r="CU14" s="5">
        <v>1</v>
      </c>
      <c r="CV14" s="5"/>
      <c r="CW14" s="5"/>
      <c r="CX14" s="5"/>
      <c r="CY14" s="5"/>
      <c r="CZ14" s="5"/>
      <c r="DA14" s="5"/>
      <c r="DB14" s="5"/>
      <c r="DC14" s="5"/>
      <c r="DD14" s="5"/>
      <c r="DE14" s="5"/>
      <c r="DF14" s="5"/>
      <c r="DG14" s="3">
        <v>15242319.240000002</v>
      </c>
    </row>
    <row r="15" spans="1:111" ht="18" customHeight="1">
      <c r="A15" t="s">
        <v>15</v>
      </c>
      <c r="B15" s="5">
        <v>2303</v>
      </c>
      <c r="C15" s="3">
        <v>127500</v>
      </c>
      <c r="D15" s="3">
        <v>65500</v>
      </c>
      <c r="E15" s="3">
        <v>18178554.620239682</v>
      </c>
      <c r="F15" s="3">
        <v>66050</v>
      </c>
      <c r="G15" s="3">
        <v>1693126.5</v>
      </c>
      <c r="H15" s="3">
        <v>977034</v>
      </c>
      <c r="I15" s="3">
        <v>187831.84999999992</v>
      </c>
      <c r="J15" s="3">
        <v>1493725.01</v>
      </c>
      <c r="K15" s="3">
        <v>2000</v>
      </c>
      <c r="L15" s="3">
        <v>80000</v>
      </c>
      <c r="M15" s="3">
        <v>10200</v>
      </c>
      <c r="N15" s="3">
        <v>8942568.3399999831</v>
      </c>
      <c r="O15" s="3">
        <v>1281290</v>
      </c>
      <c r="P15" s="3">
        <v>9509</v>
      </c>
      <c r="Q15" s="3">
        <v>24375</v>
      </c>
      <c r="R15" s="3">
        <v>1200</v>
      </c>
      <c r="S15" s="3">
        <v>1358</v>
      </c>
      <c r="T15" s="3">
        <v>22724866.219999995</v>
      </c>
      <c r="U15" s="3">
        <v>5397000</v>
      </c>
      <c r="V15" s="3">
        <v>265000</v>
      </c>
      <c r="W15" s="3">
        <v>11500</v>
      </c>
      <c r="X15" s="3">
        <v>267416</v>
      </c>
      <c r="Y15" s="3">
        <v>230000</v>
      </c>
      <c r="Z15" s="3">
        <v>9307</v>
      </c>
      <c r="AA15" s="3">
        <v>3500</v>
      </c>
      <c r="AB15" s="3">
        <v>1822900</v>
      </c>
      <c r="AC15" s="3"/>
      <c r="AD15" s="3"/>
      <c r="AE15" s="3">
        <v>164756</v>
      </c>
      <c r="AF15" s="3"/>
      <c r="AG15" s="3">
        <v>6561582</v>
      </c>
      <c r="AH15" s="3">
        <v>141000</v>
      </c>
      <c r="AI15" s="3"/>
      <c r="AJ15" s="3">
        <v>127612</v>
      </c>
      <c r="AK15" s="3">
        <v>9600</v>
      </c>
      <c r="AL15" s="3">
        <v>1800</v>
      </c>
      <c r="AM15" s="3"/>
      <c r="AN15" s="3"/>
      <c r="AO15" s="3">
        <v>1007700</v>
      </c>
      <c r="AP15" s="3">
        <v>55000</v>
      </c>
      <c r="AQ15" s="3"/>
      <c r="AR15" s="3">
        <v>1205250</v>
      </c>
      <c r="AS15" s="3">
        <v>17571</v>
      </c>
      <c r="AT15" s="3">
        <v>44000</v>
      </c>
      <c r="AU15" s="3">
        <v>3000</v>
      </c>
      <c r="AV15" s="3"/>
      <c r="AW15" s="3"/>
      <c r="AX15" s="3">
        <v>144968</v>
      </c>
      <c r="AY15" s="3"/>
      <c r="AZ15" s="3"/>
      <c r="BA15" s="3"/>
      <c r="BB15" s="3">
        <v>5000</v>
      </c>
      <c r="BC15" s="3"/>
      <c r="BD15" s="3">
        <v>500</v>
      </c>
      <c r="BE15" s="5">
        <v>12</v>
      </c>
      <c r="BF15" s="5">
        <v>12</v>
      </c>
      <c r="BG15" s="5">
        <v>203</v>
      </c>
      <c r="BH15" s="5">
        <v>4</v>
      </c>
      <c r="BI15" s="5">
        <v>24</v>
      </c>
      <c r="BJ15" s="5">
        <v>9</v>
      </c>
      <c r="BK15" s="5">
        <v>69</v>
      </c>
      <c r="BL15" s="5">
        <v>13</v>
      </c>
      <c r="BM15" s="5">
        <v>1</v>
      </c>
      <c r="BN15" s="5">
        <v>1</v>
      </c>
      <c r="BO15" s="5">
        <v>11</v>
      </c>
      <c r="BP15" s="5">
        <v>1239</v>
      </c>
      <c r="BQ15" s="5">
        <v>25</v>
      </c>
      <c r="BR15" s="5">
        <v>2</v>
      </c>
      <c r="BS15" s="5">
        <v>8</v>
      </c>
      <c r="BT15" s="5">
        <v>2</v>
      </c>
      <c r="BU15" s="5">
        <v>1</v>
      </c>
      <c r="BV15" s="5">
        <v>326</v>
      </c>
      <c r="BW15" s="5">
        <v>26</v>
      </c>
      <c r="BX15" s="5">
        <v>2</v>
      </c>
      <c r="BY15" s="5">
        <v>2</v>
      </c>
      <c r="BZ15" s="5">
        <v>4</v>
      </c>
      <c r="CA15" s="5">
        <v>2</v>
      </c>
      <c r="CB15" s="5">
        <v>1</v>
      </c>
      <c r="CC15" s="5">
        <v>1</v>
      </c>
      <c r="CD15" s="5">
        <v>48</v>
      </c>
      <c r="CE15" s="5"/>
      <c r="CF15" s="5"/>
      <c r="CG15" s="5">
        <v>97</v>
      </c>
      <c r="CH15" s="5"/>
      <c r="CI15" s="5">
        <v>50</v>
      </c>
      <c r="CJ15" s="5">
        <v>43</v>
      </c>
      <c r="CK15" s="5"/>
      <c r="CL15" s="5">
        <v>14</v>
      </c>
      <c r="CM15" s="5">
        <v>1</v>
      </c>
      <c r="CN15" s="5">
        <v>2</v>
      </c>
      <c r="CO15" s="5"/>
      <c r="CP15" s="5"/>
      <c r="CQ15" s="5">
        <v>13</v>
      </c>
      <c r="CR15" s="5">
        <v>2</v>
      </c>
      <c r="CS15" s="5"/>
      <c r="CT15" s="5">
        <v>21</v>
      </c>
      <c r="CU15" s="5">
        <v>5</v>
      </c>
      <c r="CV15" s="5">
        <v>1</v>
      </c>
      <c r="CW15" s="5">
        <v>3</v>
      </c>
      <c r="CX15" s="5"/>
      <c r="CY15" s="5"/>
      <c r="CZ15" s="5">
        <v>1</v>
      </c>
      <c r="DA15" s="5"/>
      <c r="DB15" s="5"/>
      <c r="DC15" s="5"/>
      <c r="DD15" s="5">
        <v>1</v>
      </c>
      <c r="DE15" s="5"/>
      <c r="DF15" s="5">
        <v>1</v>
      </c>
      <c r="DG15" s="3">
        <v>73362650.540239662</v>
      </c>
    </row>
    <row r="16" spans="1:111" ht="18" customHeight="1">
      <c r="A16" t="s">
        <v>16</v>
      </c>
      <c r="B16" s="5">
        <v>185</v>
      </c>
      <c r="C16" s="3"/>
      <c r="D16" s="3"/>
      <c r="E16" s="3">
        <v>468325</v>
      </c>
      <c r="F16" s="3"/>
      <c r="G16" s="3">
        <v>268993.5</v>
      </c>
      <c r="H16" s="3"/>
      <c r="I16" s="3">
        <v>16897.419999999998</v>
      </c>
      <c r="J16" s="3"/>
      <c r="K16" s="3"/>
      <c r="L16" s="3"/>
      <c r="M16" s="3"/>
      <c r="N16" s="3"/>
      <c r="O16" s="3">
        <v>250222</v>
      </c>
      <c r="P16" s="3">
        <v>4132</v>
      </c>
      <c r="Q16" s="3"/>
      <c r="R16" s="3"/>
      <c r="S16" s="3"/>
      <c r="T16" s="3">
        <v>5232501.7</v>
      </c>
      <c r="U16" s="3">
        <v>418600</v>
      </c>
      <c r="V16" s="3">
        <v>130000</v>
      </c>
      <c r="W16" s="3"/>
      <c r="X16" s="3"/>
      <c r="Y16" s="3"/>
      <c r="Z16" s="3">
        <v>160000</v>
      </c>
      <c r="AA16" s="3"/>
      <c r="AB16" s="3"/>
      <c r="AC16" s="3"/>
      <c r="AD16" s="3">
        <v>5000</v>
      </c>
      <c r="AE16" s="3"/>
      <c r="AF16" s="3"/>
      <c r="AG16" s="3">
        <v>125935</v>
      </c>
      <c r="AH16" s="3"/>
      <c r="AI16" s="3"/>
      <c r="AJ16" s="3"/>
      <c r="AK16" s="3">
        <v>40000</v>
      </c>
      <c r="AL16" s="3"/>
      <c r="AM16" s="3"/>
      <c r="AN16" s="3"/>
      <c r="AO16" s="3"/>
      <c r="AP16" s="3"/>
      <c r="AQ16" s="3"/>
      <c r="AR16" s="3">
        <v>112500</v>
      </c>
      <c r="AS16" s="3"/>
      <c r="AT16" s="3"/>
      <c r="AU16" s="3"/>
      <c r="AV16" s="3"/>
      <c r="AW16" s="3"/>
      <c r="AX16" s="3"/>
      <c r="AY16" s="3"/>
      <c r="AZ16" s="3"/>
      <c r="BA16" s="3"/>
      <c r="BB16" s="3"/>
      <c r="BC16" s="3"/>
      <c r="BD16" s="3"/>
      <c r="BE16" s="5"/>
      <c r="BF16" s="5"/>
      <c r="BG16" s="5">
        <v>24</v>
      </c>
      <c r="BH16" s="5"/>
      <c r="BI16" s="5">
        <v>5</v>
      </c>
      <c r="BJ16" s="5"/>
      <c r="BK16" s="5">
        <v>5</v>
      </c>
      <c r="BL16" s="5"/>
      <c r="BM16" s="5"/>
      <c r="BN16" s="5"/>
      <c r="BO16" s="5"/>
      <c r="BP16" s="5"/>
      <c r="BQ16" s="5">
        <v>5</v>
      </c>
      <c r="BR16" s="5">
        <v>2</v>
      </c>
      <c r="BS16" s="5"/>
      <c r="BT16" s="5"/>
      <c r="BU16" s="5"/>
      <c r="BV16" s="5">
        <v>115</v>
      </c>
      <c r="BW16" s="5">
        <v>13</v>
      </c>
      <c r="BX16" s="5">
        <v>1</v>
      </c>
      <c r="BY16" s="5"/>
      <c r="BZ16" s="5"/>
      <c r="CA16" s="5"/>
      <c r="CB16" s="5">
        <v>3</v>
      </c>
      <c r="CC16" s="5"/>
      <c r="CD16" s="5"/>
      <c r="CE16" s="5"/>
      <c r="CF16" s="5">
        <v>1</v>
      </c>
      <c r="CG16" s="5"/>
      <c r="CH16" s="5"/>
      <c r="CI16" s="5">
        <v>5</v>
      </c>
      <c r="CJ16" s="5"/>
      <c r="CK16" s="5"/>
      <c r="CL16" s="5"/>
      <c r="CM16" s="5">
        <v>1</v>
      </c>
      <c r="CN16" s="5"/>
      <c r="CO16" s="5"/>
      <c r="CP16" s="5"/>
      <c r="CQ16" s="5"/>
      <c r="CR16" s="5"/>
      <c r="CS16" s="5"/>
      <c r="CT16" s="5">
        <v>5</v>
      </c>
      <c r="CU16" s="5"/>
      <c r="CV16" s="5"/>
      <c r="CW16" s="5"/>
      <c r="CX16" s="5"/>
      <c r="CY16" s="5"/>
      <c r="CZ16" s="5"/>
      <c r="DA16" s="5"/>
      <c r="DB16" s="5"/>
      <c r="DC16" s="5"/>
      <c r="DD16" s="5"/>
      <c r="DE16" s="5"/>
      <c r="DF16" s="5"/>
      <c r="DG16" s="3">
        <v>7233106.6200000001</v>
      </c>
    </row>
    <row r="17" spans="1:111" ht="18" customHeight="1">
      <c r="A17" t="s">
        <v>17</v>
      </c>
      <c r="B17" s="5">
        <v>107</v>
      </c>
      <c r="C17" s="3"/>
      <c r="D17" s="3"/>
      <c r="E17" s="3">
        <v>79337</v>
      </c>
      <c r="F17" s="3"/>
      <c r="G17" s="3">
        <v>211648</v>
      </c>
      <c r="H17" s="3"/>
      <c r="I17" s="3">
        <v>38465.380000000005</v>
      </c>
      <c r="J17" s="3"/>
      <c r="K17" s="3"/>
      <c r="L17" s="3"/>
      <c r="M17" s="3"/>
      <c r="N17" s="3"/>
      <c r="O17" s="3">
        <v>100000</v>
      </c>
      <c r="P17" s="3">
        <v>1931</v>
      </c>
      <c r="Q17" s="3"/>
      <c r="R17" s="3"/>
      <c r="S17" s="3">
        <v>10500</v>
      </c>
      <c r="T17" s="3">
        <v>1914216.0899999999</v>
      </c>
      <c r="U17" s="3">
        <v>1003400</v>
      </c>
      <c r="V17" s="3"/>
      <c r="W17" s="3"/>
      <c r="X17" s="3"/>
      <c r="Y17" s="3"/>
      <c r="Z17" s="3">
        <v>2500</v>
      </c>
      <c r="AA17" s="3"/>
      <c r="AB17" s="3"/>
      <c r="AC17" s="3"/>
      <c r="AD17" s="3"/>
      <c r="AE17" s="3"/>
      <c r="AF17" s="3"/>
      <c r="AG17" s="3">
        <v>74195</v>
      </c>
      <c r="AH17" s="3"/>
      <c r="AI17" s="3"/>
      <c r="AJ17" s="3"/>
      <c r="AK17" s="3"/>
      <c r="AL17" s="3"/>
      <c r="AM17" s="3"/>
      <c r="AN17" s="3"/>
      <c r="AO17" s="3">
        <v>87900</v>
      </c>
      <c r="AP17" s="3"/>
      <c r="AQ17" s="3"/>
      <c r="AR17" s="3">
        <v>180000</v>
      </c>
      <c r="AS17" s="3">
        <v>9999</v>
      </c>
      <c r="AT17" s="3">
        <v>48000</v>
      </c>
      <c r="AU17" s="3"/>
      <c r="AV17" s="3"/>
      <c r="AW17" s="3"/>
      <c r="AX17" s="3"/>
      <c r="AY17" s="3"/>
      <c r="AZ17" s="3"/>
      <c r="BA17" s="3"/>
      <c r="BB17" s="3"/>
      <c r="BC17" s="3"/>
      <c r="BD17" s="3"/>
      <c r="BE17" s="5"/>
      <c r="BF17" s="5"/>
      <c r="BG17" s="5">
        <v>8</v>
      </c>
      <c r="BH17" s="5"/>
      <c r="BI17" s="5">
        <v>5</v>
      </c>
      <c r="BJ17" s="5"/>
      <c r="BK17" s="5">
        <v>27</v>
      </c>
      <c r="BL17" s="5"/>
      <c r="BM17" s="5"/>
      <c r="BN17" s="5"/>
      <c r="BO17" s="5"/>
      <c r="BP17" s="5"/>
      <c r="BQ17" s="5">
        <v>2</v>
      </c>
      <c r="BR17" s="5">
        <v>1</v>
      </c>
      <c r="BS17" s="5"/>
      <c r="BT17" s="5"/>
      <c r="BU17" s="5">
        <v>2</v>
      </c>
      <c r="BV17" s="5">
        <v>43</v>
      </c>
      <c r="BW17" s="5">
        <v>5</v>
      </c>
      <c r="BX17" s="5"/>
      <c r="BY17" s="5"/>
      <c r="BZ17" s="5"/>
      <c r="CA17" s="5"/>
      <c r="CB17" s="5">
        <v>1</v>
      </c>
      <c r="CC17" s="5"/>
      <c r="CD17" s="5"/>
      <c r="CE17" s="5"/>
      <c r="CF17" s="5"/>
      <c r="CG17" s="5"/>
      <c r="CH17" s="5"/>
      <c r="CI17" s="5">
        <v>6</v>
      </c>
      <c r="CJ17" s="5"/>
      <c r="CK17" s="5"/>
      <c r="CL17" s="5"/>
      <c r="CM17" s="5"/>
      <c r="CN17" s="5"/>
      <c r="CO17" s="5"/>
      <c r="CP17" s="5"/>
      <c r="CQ17" s="5">
        <v>1</v>
      </c>
      <c r="CR17" s="5"/>
      <c r="CS17" s="5"/>
      <c r="CT17" s="5">
        <v>3</v>
      </c>
      <c r="CU17" s="5">
        <v>2</v>
      </c>
      <c r="CV17" s="5">
        <v>1</v>
      </c>
      <c r="CW17" s="5"/>
      <c r="CX17" s="5"/>
      <c r="CY17" s="5"/>
      <c r="CZ17" s="5"/>
      <c r="DA17" s="5"/>
      <c r="DB17" s="5"/>
      <c r="DC17" s="5"/>
      <c r="DD17" s="5"/>
      <c r="DE17" s="5"/>
      <c r="DF17" s="5"/>
      <c r="DG17" s="3">
        <v>3762091.4699999997</v>
      </c>
    </row>
    <row r="18" spans="1:111" ht="18" customHeight="1">
      <c r="A18" t="s">
        <v>18</v>
      </c>
      <c r="B18" s="5">
        <v>85</v>
      </c>
      <c r="C18" s="3"/>
      <c r="D18" s="3"/>
      <c r="E18" s="3">
        <v>129493</v>
      </c>
      <c r="F18" s="3"/>
      <c r="G18" s="3"/>
      <c r="H18" s="3"/>
      <c r="I18" s="3">
        <v>42774.6</v>
      </c>
      <c r="J18" s="3"/>
      <c r="K18" s="3"/>
      <c r="L18" s="3"/>
      <c r="M18" s="3"/>
      <c r="N18" s="3"/>
      <c r="O18" s="3">
        <v>9023</v>
      </c>
      <c r="P18" s="3"/>
      <c r="Q18" s="3">
        <v>3250</v>
      </c>
      <c r="R18" s="3"/>
      <c r="S18" s="3">
        <v>2500</v>
      </c>
      <c r="T18" s="3">
        <v>806197.69</v>
      </c>
      <c r="U18" s="3">
        <v>2297600</v>
      </c>
      <c r="V18" s="3"/>
      <c r="W18" s="3">
        <v>6500</v>
      </c>
      <c r="X18" s="3"/>
      <c r="Y18" s="3"/>
      <c r="Z18" s="3"/>
      <c r="AA18" s="3"/>
      <c r="AB18" s="3">
        <v>60000</v>
      </c>
      <c r="AC18" s="3"/>
      <c r="AD18" s="3"/>
      <c r="AE18" s="3">
        <v>5000</v>
      </c>
      <c r="AF18" s="3"/>
      <c r="AG18" s="3">
        <v>11650</v>
      </c>
      <c r="AH18" s="3">
        <v>3000</v>
      </c>
      <c r="AI18" s="3"/>
      <c r="AJ18" s="3"/>
      <c r="AK18" s="3"/>
      <c r="AL18" s="3"/>
      <c r="AM18" s="3"/>
      <c r="AN18" s="3"/>
      <c r="AO18" s="3"/>
      <c r="AP18" s="3"/>
      <c r="AQ18" s="3"/>
      <c r="AR18" s="3"/>
      <c r="AS18" s="3">
        <v>450</v>
      </c>
      <c r="AT18" s="3"/>
      <c r="AU18" s="3"/>
      <c r="AV18" s="3"/>
      <c r="AW18" s="3"/>
      <c r="AX18" s="3"/>
      <c r="AY18" s="3"/>
      <c r="AZ18" s="3"/>
      <c r="BA18" s="3"/>
      <c r="BB18" s="3"/>
      <c r="BC18" s="3"/>
      <c r="BD18" s="3">
        <v>26679</v>
      </c>
      <c r="BE18" s="5"/>
      <c r="BF18" s="5"/>
      <c r="BG18" s="5">
        <v>6</v>
      </c>
      <c r="BH18" s="5"/>
      <c r="BI18" s="5"/>
      <c r="BJ18" s="5"/>
      <c r="BK18" s="5">
        <v>20</v>
      </c>
      <c r="BL18" s="5"/>
      <c r="BM18" s="5"/>
      <c r="BN18" s="5"/>
      <c r="BO18" s="5"/>
      <c r="BP18" s="5"/>
      <c r="BQ18" s="5">
        <v>1</v>
      </c>
      <c r="BR18" s="5"/>
      <c r="BS18" s="5">
        <v>5</v>
      </c>
      <c r="BT18" s="5"/>
      <c r="BU18" s="5">
        <v>1</v>
      </c>
      <c r="BV18" s="5">
        <v>22</v>
      </c>
      <c r="BW18" s="5">
        <v>8</v>
      </c>
      <c r="BX18" s="5"/>
      <c r="BY18" s="5">
        <v>1</v>
      </c>
      <c r="BZ18" s="5"/>
      <c r="CA18" s="5"/>
      <c r="CB18" s="5"/>
      <c r="CC18" s="5"/>
      <c r="CD18" s="5">
        <v>3</v>
      </c>
      <c r="CE18" s="5"/>
      <c r="CF18" s="5"/>
      <c r="CG18" s="5">
        <v>4</v>
      </c>
      <c r="CH18" s="5"/>
      <c r="CI18" s="5">
        <v>2</v>
      </c>
      <c r="CJ18" s="5">
        <v>1</v>
      </c>
      <c r="CK18" s="5"/>
      <c r="CL18" s="5"/>
      <c r="CM18" s="5"/>
      <c r="CN18" s="5"/>
      <c r="CO18" s="5"/>
      <c r="CP18" s="5"/>
      <c r="CQ18" s="5"/>
      <c r="CR18" s="5"/>
      <c r="CS18" s="5"/>
      <c r="CT18" s="5"/>
      <c r="CU18" s="5">
        <v>1</v>
      </c>
      <c r="CV18" s="5"/>
      <c r="CW18" s="5"/>
      <c r="CX18" s="5"/>
      <c r="CY18" s="5"/>
      <c r="CZ18" s="5"/>
      <c r="DA18" s="5"/>
      <c r="DB18" s="5"/>
      <c r="DC18" s="5"/>
      <c r="DD18" s="5"/>
      <c r="DE18" s="5"/>
      <c r="DF18" s="5">
        <v>10</v>
      </c>
      <c r="DG18" s="3">
        <v>3404117.29</v>
      </c>
    </row>
    <row r="19" spans="1:111" ht="18" customHeight="1">
      <c r="A19" t="s">
        <v>19</v>
      </c>
      <c r="B19" s="5">
        <v>382</v>
      </c>
      <c r="C19" s="3"/>
      <c r="D19" s="3">
        <v>3000</v>
      </c>
      <c r="E19" s="3">
        <v>266679</v>
      </c>
      <c r="F19" s="3"/>
      <c r="G19" s="3">
        <v>424012</v>
      </c>
      <c r="H19" s="3">
        <v>216935</v>
      </c>
      <c r="I19" s="3">
        <v>106595.43000000002</v>
      </c>
      <c r="J19" s="3">
        <v>150000</v>
      </c>
      <c r="K19" s="3"/>
      <c r="L19" s="3">
        <v>150000</v>
      </c>
      <c r="M19" s="3"/>
      <c r="N19" s="3"/>
      <c r="O19" s="3"/>
      <c r="P19" s="3">
        <v>6290</v>
      </c>
      <c r="Q19" s="3"/>
      <c r="R19" s="3"/>
      <c r="S19" s="3"/>
      <c r="T19" s="3">
        <v>6370864.290000001</v>
      </c>
      <c r="U19" s="3">
        <v>1808200</v>
      </c>
      <c r="V19" s="3"/>
      <c r="W19" s="3"/>
      <c r="X19" s="3">
        <v>59300</v>
      </c>
      <c r="Y19" s="3"/>
      <c r="Z19" s="3">
        <v>367842</v>
      </c>
      <c r="AA19" s="3"/>
      <c r="AB19" s="3">
        <v>28500</v>
      </c>
      <c r="AC19" s="3"/>
      <c r="AD19" s="3"/>
      <c r="AE19" s="3"/>
      <c r="AF19" s="3">
        <v>298060.75</v>
      </c>
      <c r="AG19" s="3">
        <v>1059962</v>
      </c>
      <c r="AH19" s="3"/>
      <c r="AI19" s="3"/>
      <c r="AJ19" s="3">
        <v>36199</v>
      </c>
      <c r="AK19" s="3">
        <v>68500</v>
      </c>
      <c r="AL19" s="3"/>
      <c r="AM19" s="3"/>
      <c r="AN19" s="3"/>
      <c r="AO19" s="3">
        <v>173200</v>
      </c>
      <c r="AP19" s="3"/>
      <c r="AQ19" s="3">
        <v>7884</v>
      </c>
      <c r="AR19" s="3">
        <v>225000</v>
      </c>
      <c r="AS19" s="3"/>
      <c r="AT19" s="3"/>
      <c r="AU19" s="3">
        <v>1800</v>
      </c>
      <c r="AV19" s="3"/>
      <c r="AW19" s="3"/>
      <c r="AX19" s="3"/>
      <c r="AY19" s="3"/>
      <c r="AZ19" s="3"/>
      <c r="BA19" s="3"/>
      <c r="BB19" s="3">
        <v>5000</v>
      </c>
      <c r="BC19" s="3"/>
      <c r="BD19" s="3"/>
      <c r="BE19" s="5"/>
      <c r="BF19" s="5">
        <v>1</v>
      </c>
      <c r="BG19" s="5">
        <v>12</v>
      </c>
      <c r="BH19" s="5"/>
      <c r="BI19" s="5">
        <v>13</v>
      </c>
      <c r="BJ19" s="5">
        <v>2</v>
      </c>
      <c r="BK19" s="5">
        <v>39</v>
      </c>
      <c r="BL19" s="5">
        <v>1</v>
      </c>
      <c r="BM19" s="5"/>
      <c r="BN19" s="5">
        <v>1</v>
      </c>
      <c r="BO19" s="5"/>
      <c r="BP19" s="5"/>
      <c r="BQ19" s="5"/>
      <c r="BR19" s="5">
        <v>2</v>
      </c>
      <c r="BS19" s="5"/>
      <c r="BT19" s="5"/>
      <c r="BU19" s="5"/>
      <c r="BV19" s="5">
        <v>152</v>
      </c>
      <c r="BW19" s="5">
        <v>7</v>
      </c>
      <c r="BX19" s="5"/>
      <c r="BY19" s="5"/>
      <c r="BZ19" s="5">
        <v>1</v>
      </c>
      <c r="CA19" s="5"/>
      <c r="CB19" s="5">
        <v>1</v>
      </c>
      <c r="CC19" s="5"/>
      <c r="CD19" s="5">
        <v>7</v>
      </c>
      <c r="CE19" s="5"/>
      <c r="CF19" s="5"/>
      <c r="CG19" s="5"/>
      <c r="CH19" s="5">
        <v>109</v>
      </c>
      <c r="CI19" s="5">
        <v>13</v>
      </c>
      <c r="CJ19" s="5"/>
      <c r="CK19" s="5"/>
      <c r="CL19" s="5">
        <v>5</v>
      </c>
      <c r="CM19" s="5">
        <v>3</v>
      </c>
      <c r="CN19" s="5"/>
      <c r="CO19" s="5"/>
      <c r="CP19" s="5"/>
      <c r="CQ19" s="5">
        <v>3</v>
      </c>
      <c r="CR19" s="5"/>
      <c r="CS19" s="5">
        <v>3</v>
      </c>
      <c r="CT19" s="5">
        <v>3</v>
      </c>
      <c r="CU19" s="5"/>
      <c r="CV19" s="5"/>
      <c r="CW19" s="5">
        <v>3</v>
      </c>
      <c r="CX19" s="5"/>
      <c r="CY19" s="5"/>
      <c r="CZ19" s="5"/>
      <c r="DA19" s="5"/>
      <c r="DB19" s="5"/>
      <c r="DC19" s="5"/>
      <c r="DD19" s="5">
        <v>1</v>
      </c>
      <c r="DE19" s="5"/>
      <c r="DF19" s="5"/>
      <c r="DG19" s="3">
        <v>11833823.470000001</v>
      </c>
    </row>
    <row r="20" spans="1:111" ht="18" customHeight="1">
      <c r="A20" t="s">
        <v>20</v>
      </c>
      <c r="B20" s="5">
        <v>111</v>
      </c>
      <c r="C20" s="3"/>
      <c r="D20" s="3">
        <v>3000</v>
      </c>
      <c r="E20" s="3">
        <v>133945</v>
      </c>
      <c r="F20" s="3"/>
      <c r="G20" s="3">
        <v>64079</v>
      </c>
      <c r="H20" s="3"/>
      <c r="I20" s="3">
        <v>26597.22</v>
      </c>
      <c r="J20" s="3"/>
      <c r="K20" s="3"/>
      <c r="L20" s="3"/>
      <c r="M20" s="3"/>
      <c r="N20" s="3"/>
      <c r="O20" s="3">
        <v>73297</v>
      </c>
      <c r="P20" s="3">
        <v>2500</v>
      </c>
      <c r="Q20" s="3"/>
      <c r="R20" s="3">
        <v>600</v>
      </c>
      <c r="S20" s="3">
        <v>25000</v>
      </c>
      <c r="T20" s="3">
        <v>1020214.7</v>
      </c>
      <c r="U20" s="3">
        <v>6048400</v>
      </c>
      <c r="V20" s="3"/>
      <c r="W20" s="3"/>
      <c r="X20" s="3"/>
      <c r="Y20" s="3"/>
      <c r="Z20" s="3"/>
      <c r="AA20" s="3"/>
      <c r="AB20" s="3">
        <v>5000</v>
      </c>
      <c r="AC20" s="3"/>
      <c r="AD20" s="3"/>
      <c r="AE20" s="3">
        <v>22200</v>
      </c>
      <c r="AF20" s="3"/>
      <c r="AG20" s="3">
        <v>101734</v>
      </c>
      <c r="AH20" s="3">
        <v>24000</v>
      </c>
      <c r="AI20" s="3"/>
      <c r="AJ20" s="3">
        <v>18000</v>
      </c>
      <c r="AK20" s="3"/>
      <c r="AL20" s="3"/>
      <c r="AM20" s="3"/>
      <c r="AN20" s="3"/>
      <c r="AO20" s="3">
        <v>119000</v>
      </c>
      <c r="AP20" s="3"/>
      <c r="AQ20" s="3"/>
      <c r="AR20" s="3"/>
      <c r="AS20" s="3">
        <v>2569</v>
      </c>
      <c r="AT20" s="3"/>
      <c r="AU20" s="3"/>
      <c r="AV20" s="3"/>
      <c r="AW20" s="3"/>
      <c r="AX20" s="3"/>
      <c r="AY20" s="3"/>
      <c r="AZ20" s="3"/>
      <c r="BA20" s="3"/>
      <c r="BB20" s="3"/>
      <c r="BC20" s="3"/>
      <c r="BD20" s="3">
        <v>18342.400000000001</v>
      </c>
      <c r="BE20" s="5"/>
      <c r="BF20" s="5">
        <v>1</v>
      </c>
      <c r="BG20" s="5">
        <v>10</v>
      </c>
      <c r="BH20" s="5"/>
      <c r="BI20" s="5">
        <v>2</v>
      </c>
      <c r="BJ20" s="5"/>
      <c r="BK20" s="5">
        <v>12</v>
      </c>
      <c r="BL20" s="5"/>
      <c r="BM20" s="5"/>
      <c r="BN20" s="5"/>
      <c r="BO20" s="5"/>
      <c r="BP20" s="5"/>
      <c r="BQ20" s="5">
        <v>1</v>
      </c>
      <c r="BR20" s="5">
        <v>1</v>
      </c>
      <c r="BS20" s="5"/>
      <c r="BT20" s="5">
        <v>1</v>
      </c>
      <c r="BU20" s="5">
        <v>2</v>
      </c>
      <c r="BV20" s="5">
        <v>23</v>
      </c>
      <c r="BW20" s="5">
        <v>10</v>
      </c>
      <c r="BX20" s="5"/>
      <c r="BY20" s="5"/>
      <c r="BZ20" s="5"/>
      <c r="CA20" s="5"/>
      <c r="CB20" s="5"/>
      <c r="CC20" s="5"/>
      <c r="CD20" s="5">
        <v>1</v>
      </c>
      <c r="CE20" s="5"/>
      <c r="CF20" s="5"/>
      <c r="CG20" s="5">
        <v>13</v>
      </c>
      <c r="CH20" s="5"/>
      <c r="CI20" s="5">
        <v>3</v>
      </c>
      <c r="CJ20" s="5">
        <v>7</v>
      </c>
      <c r="CK20" s="5"/>
      <c r="CL20" s="5">
        <v>2</v>
      </c>
      <c r="CM20" s="5"/>
      <c r="CN20" s="5"/>
      <c r="CO20" s="5"/>
      <c r="CP20" s="5"/>
      <c r="CQ20" s="5">
        <v>2</v>
      </c>
      <c r="CR20" s="5"/>
      <c r="CS20" s="5"/>
      <c r="CT20" s="5"/>
      <c r="CU20" s="5">
        <v>1</v>
      </c>
      <c r="CV20" s="5"/>
      <c r="CW20" s="5"/>
      <c r="CX20" s="5"/>
      <c r="CY20" s="5"/>
      <c r="CZ20" s="5"/>
      <c r="DA20" s="5"/>
      <c r="DB20" s="5"/>
      <c r="DC20" s="5"/>
      <c r="DD20" s="5"/>
      <c r="DE20" s="5"/>
      <c r="DF20" s="5">
        <v>19</v>
      </c>
      <c r="DG20" s="3">
        <v>7708478.3200000003</v>
      </c>
    </row>
    <row r="21" spans="1:111" ht="18" customHeight="1">
      <c r="A21" t="s">
        <v>21</v>
      </c>
      <c r="B21" s="5">
        <v>210</v>
      </c>
      <c r="C21" s="3"/>
      <c r="D21" s="3">
        <v>11466</v>
      </c>
      <c r="E21" s="3">
        <v>492571</v>
      </c>
      <c r="F21" s="3"/>
      <c r="G21" s="3">
        <v>250392.5</v>
      </c>
      <c r="H21" s="3">
        <v>154706</v>
      </c>
      <c r="I21" s="3">
        <v>53904.340000000011</v>
      </c>
      <c r="J21" s="3">
        <v>20000</v>
      </c>
      <c r="K21" s="3"/>
      <c r="L21" s="3"/>
      <c r="M21" s="3"/>
      <c r="N21" s="3"/>
      <c r="O21" s="3">
        <v>68950</v>
      </c>
      <c r="P21" s="3">
        <v>3576</v>
      </c>
      <c r="Q21" s="3"/>
      <c r="R21" s="3"/>
      <c r="S21" s="3"/>
      <c r="T21" s="3">
        <v>3057377.9599999995</v>
      </c>
      <c r="U21" s="3">
        <v>1278100</v>
      </c>
      <c r="V21" s="3"/>
      <c r="W21" s="3"/>
      <c r="X21" s="3"/>
      <c r="Y21" s="3"/>
      <c r="Z21" s="3"/>
      <c r="AA21" s="3"/>
      <c r="AB21" s="3">
        <v>5000</v>
      </c>
      <c r="AC21" s="3"/>
      <c r="AD21" s="3"/>
      <c r="AE21" s="3">
        <v>39773</v>
      </c>
      <c r="AF21" s="3"/>
      <c r="AG21" s="3">
        <v>180960</v>
      </c>
      <c r="AH21" s="3">
        <v>20000</v>
      </c>
      <c r="AI21" s="3"/>
      <c r="AJ21" s="3">
        <v>55110</v>
      </c>
      <c r="AK21" s="3">
        <v>28000</v>
      </c>
      <c r="AL21" s="3"/>
      <c r="AM21" s="3"/>
      <c r="AN21" s="3"/>
      <c r="AO21" s="3">
        <v>77800</v>
      </c>
      <c r="AP21" s="3"/>
      <c r="AQ21" s="3"/>
      <c r="AR21" s="3"/>
      <c r="AS21" s="3"/>
      <c r="AT21" s="3"/>
      <c r="AU21" s="3">
        <v>500</v>
      </c>
      <c r="AV21" s="3"/>
      <c r="AW21" s="3"/>
      <c r="AX21" s="3"/>
      <c r="AY21" s="3"/>
      <c r="AZ21" s="3"/>
      <c r="BA21" s="3"/>
      <c r="BB21" s="3"/>
      <c r="BC21" s="3"/>
      <c r="BD21" s="3">
        <v>87471.05</v>
      </c>
      <c r="BE21" s="5"/>
      <c r="BF21" s="5">
        <v>3</v>
      </c>
      <c r="BG21" s="5">
        <v>24</v>
      </c>
      <c r="BH21" s="5"/>
      <c r="BI21" s="5">
        <v>6</v>
      </c>
      <c r="BJ21" s="5">
        <v>1</v>
      </c>
      <c r="BK21" s="5">
        <v>26</v>
      </c>
      <c r="BL21" s="5">
        <v>1</v>
      </c>
      <c r="BM21" s="5"/>
      <c r="BN21" s="5"/>
      <c r="BO21" s="5"/>
      <c r="BP21" s="5"/>
      <c r="BQ21" s="5">
        <v>2</v>
      </c>
      <c r="BR21" s="5">
        <v>1</v>
      </c>
      <c r="BS21" s="5"/>
      <c r="BT21" s="5"/>
      <c r="BU21" s="5"/>
      <c r="BV21" s="5">
        <v>49</v>
      </c>
      <c r="BW21" s="5">
        <v>9</v>
      </c>
      <c r="BX21" s="5"/>
      <c r="BY21" s="5"/>
      <c r="BZ21" s="5"/>
      <c r="CA21" s="5"/>
      <c r="CB21" s="5"/>
      <c r="CC21" s="5"/>
      <c r="CD21" s="5">
        <v>1</v>
      </c>
      <c r="CE21" s="5"/>
      <c r="CF21" s="5"/>
      <c r="CG21" s="5">
        <v>21</v>
      </c>
      <c r="CH21" s="5"/>
      <c r="CI21" s="5">
        <v>9</v>
      </c>
      <c r="CJ21" s="5">
        <v>4</v>
      </c>
      <c r="CK21" s="5"/>
      <c r="CL21" s="5">
        <v>10</v>
      </c>
      <c r="CM21" s="5">
        <v>2</v>
      </c>
      <c r="CN21" s="5"/>
      <c r="CO21" s="5"/>
      <c r="CP21" s="5"/>
      <c r="CQ21" s="5">
        <v>1</v>
      </c>
      <c r="CR21" s="5"/>
      <c r="CS21" s="5"/>
      <c r="CT21" s="5"/>
      <c r="CU21" s="5"/>
      <c r="CV21" s="5"/>
      <c r="CW21" s="5">
        <v>1</v>
      </c>
      <c r="CX21" s="5"/>
      <c r="CY21" s="5"/>
      <c r="CZ21" s="5"/>
      <c r="DA21" s="5"/>
      <c r="DB21" s="5"/>
      <c r="DC21" s="5"/>
      <c r="DD21" s="5"/>
      <c r="DE21" s="5"/>
      <c r="DF21" s="5">
        <v>39</v>
      </c>
      <c r="DG21" s="3">
        <v>5885657.8499999987</v>
      </c>
    </row>
    <row r="22" spans="1:111" ht="18" customHeight="1">
      <c r="A22" t="s">
        <v>22</v>
      </c>
      <c r="B22" s="5">
        <v>85</v>
      </c>
      <c r="C22" s="3"/>
      <c r="D22" s="3"/>
      <c r="E22" s="3">
        <v>133265</v>
      </c>
      <c r="F22" s="3"/>
      <c r="G22" s="3"/>
      <c r="H22" s="3"/>
      <c r="I22" s="3">
        <v>25236.280000000002</v>
      </c>
      <c r="J22" s="3">
        <v>128000</v>
      </c>
      <c r="K22" s="3"/>
      <c r="L22" s="3"/>
      <c r="M22" s="3"/>
      <c r="N22" s="3">
        <v>3977</v>
      </c>
      <c r="O22" s="3"/>
      <c r="P22" s="3"/>
      <c r="Q22" s="3"/>
      <c r="R22" s="3"/>
      <c r="S22" s="3">
        <v>22792</v>
      </c>
      <c r="T22" s="3">
        <v>1139589</v>
      </c>
      <c r="U22" s="3">
        <v>1161200</v>
      </c>
      <c r="V22" s="3"/>
      <c r="W22" s="3"/>
      <c r="X22" s="3"/>
      <c r="Y22" s="3"/>
      <c r="Z22" s="3"/>
      <c r="AA22" s="3"/>
      <c r="AB22" s="3"/>
      <c r="AC22" s="3"/>
      <c r="AD22" s="3"/>
      <c r="AE22" s="3">
        <v>1000</v>
      </c>
      <c r="AF22" s="3"/>
      <c r="AG22" s="3">
        <v>134961</v>
      </c>
      <c r="AH22" s="3">
        <v>5000</v>
      </c>
      <c r="AI22" s="3"/>
      <c r="AJ22" s="3"/>
      <c r="AK22" s="3"/>
      <c r="AL22" s="3"/>
      <c r="AM22" s="3"/>
      <c r="AN22" s="3"/>
      <c r="AO22" s="3"/>
      <c r="AP22" s="3"/>
      <c r="AQ22" s="3"/>
      <c r="AR22" s="3"/>
      <c r="AS22" s="3"/>
      <c r="AT22" s="3"/>
      <c r="AU22" s="3"/>
      <c r="AV22" s="3"/>
      <c r="AW22" s="3"/>
      <c r="AX22" s="3"/>
      <c r="AY22" s="3"/>
      <c r="AZ22" s="3"/>
      <c r="BA22" s="3"/>
      <c r="BB22" s="3"/>
      <c r="BC22" s="3"/>
      <c r="BD22" s="3">
        <v>36362</v>
      </c>
      <c r="BE22" s="5"/>
      <c r="BF22" s="5"/>
      <c r="BG22" s="5">
        <v>7</v>
      </c>
      <c r="BH22" s="5"/>
      <c r="BI22" s="5"/>
      <c r="BJ22" s="5"/>
      <c r="BK22" s="5">
        <v>12</v>
      </c>
      <c r="BL22" s="5">
        <v>1</v>
      </c>
      <c r="BM22" s="5"/>
      <c r="BN22" s="5"/>
      <c r="BO22" s="5"/>
      <c r="BP22" s="5">
        <v>1</v>
      </c>
      <c r="BQ22" s="5"/>
      <c r="BR22" s="5"/>
      <c r="BS22" s="5"/>
      <c r="BT22" s="5"/>
      <c r="BU22" s="5">
        <v>2</v>
      </c>
      <c r="BV22" s="5">
        <v>31</v>
      </c>
      <c r="BW22" s="5">
        <v>8</v>
      </c>
      <c r="BX22" s="5"/>
      <c r="BY22" s="5"/>
      <c r="BZ22" s="5"/>
      <c r="CA22" s="5"/>
      <c r="CB22" s="5"/>
      <c r="CC22" s="5"/>
      <c r="CD22" s="5"/>
      <c r="CE22" s="5"/>
      <c r="CF22" s="5"/>
      <c r="CG22" s="5">
        <v>1</v>
      </c>
      <c r="CH22" s="5"/>
      <c r="CI22" s="5">
        <v>5</v>
      </c>
      <c r="CJ22" s="5">
        <v>1</v>
      </c>
      <c r="CK22" s="5"/>
      <c r="CL22" s="5"/>
      <c r="CM22" s="5"/>
      <c r="CN22" s="5"/>
      <c r="CO22" s="5"/>
      <c r="CP22" s="5"/>
      <c r="CQ22" s="5"/>
      <c r="CR22" s="5"/>
      <c r="CS22" s="5"/>
      <c r="CT22" s="5"/>
      <c r="CU22" s="5"/>
      <c r="CV22" s="5"/>
      <c r="CW22" s="5"/>
      <c r="CX22" s="5"/>
      <c r="CY22" s="5"/>
      <c r="CZ22" s="5"/>
      <c r="DA22" s="5"/>
      <c r="DB22" s="5"/>
      <c r="DC22" s="5"/>
      <c r="DD22" s="5"/>
      <c r="DE22" s="5"/>
      <c r="DF22" s="5">
        <v>16</v>
      </c>
      <c r="DG22" s="3">
        <v>2791382.2800000003</v>
      </c>
    </row>
    <row r="23" spans="1:111" ht="18" customHeight="1">
      <c r="A23" t="s">
        <v>23</v>
      </c>
      <c r="B23" s="5">
        <v>1119</v>
      </c>
      <c r="C23" s="3">
        <v>30000</v>
      </c>
      <c r="D23" s="3">
        <v>31380</v>
      </c>
      <c r="E23" s="3">
        <v>2987802.643907167</v>
      </c>
      <c r="F23" s="3"/>
      <c r="G23" s="3">
        <v>1477084</v>
      </c>
      <c r="H23" s="3">
        <v>409153</v>
      </c>
      <c r="I23" s="3">
        <v>206985.17999999993</v>
      </c>
      <c r="J23" s="3">
        <v>437000</v>
      </c>
      <c r="K23" s="3"/>
      <c r="L23" s="3"/>
      <c r="M23" s="3">
        <v>10821.91</v>
      </c>
      <c r="N23" s="3">
        <v>44304</v>
      </c>
      <c r="O23" s="3">
        <v>697337</v>
      </c>
      <c r="P23" s="3">
        <v>3863</v>
      </c>
      <c r="Q23" s="3"/>
      <c r="R23" s="3">
        <v>600</v>
      </c>
      <c r="S23" s="3">
        <v>17000</v>
      </c>
      <c r="T23" s="3">
        <v>19931441.27999999</v>
      </c>
      <c r="U23" s="3">
        <v>5660400</v>
      </c>
      <c r="V23" s="3"/>
      <c r="W23" s="3">
        <v>50000</v>
      </c>
      <c r="X23" s="3">
        <v>444668</v>
      </c>
      <c r="Y23" s="3"/>
      <c r="Z23" s="3">
        <v>852968</v>
      </c>
      <c r="AA23" s="3"/>
      <c r="AB23" s="3">
        <v>382649</v>
      </c>
      <c r="AC23" s="3"/>
      <c r="AD23" s="3"/>
      <c r="AE23" s="3"/>
      <c r="AF23" s="3">
        <v>642512.11</v>
      </c>
      <c r="AG23" s="3">
        <v>8185681</v>
      </c>
      <c r="AH23" s="3">
        <v>33900</v>
      </c>
      <c r="AI23" s="3"/>
      <c r="AJ23" s="3">
        <v>292914</v>
      </c>
      <c r="AK23" s="3">
        <v>81550</v>
      </c>
      <c r="AL23" s="3"/>
      <c r="AM23" s="3">
        <v>30268</v>
      </c>
      <c r="AN23" s="3"/>
      <c r="AO23" s="3">
        <v>201410</v>
      </c>
      <c r="AP23" s="3">
        <v>35000</v>
      </c>
      <c r="AQ23" s="3">
        <v>150429</v>
      </c>
      <c r="AR23" s="3">
        <v>512600</v>
      </c>
      <c r="AS23" s="3">
        <v>24910</v>
      </c>
      <c r="AT23" s="3">
        <v>20000</v>
      </c>
      <c r="AU23" s="3">
        <v>6000</v>
      </c>
      <c r="AV23" s="3"/>
      <c r="AW23" s="3"/>
      <c r="AX23" s="3"/>
      <c r="AY23" s="3">
        <v>17100</v>
      </c>
      <c r="AZ23" s="3"/>
      <c r="BA23" s="3"/>
      <c r="BB23" s="3">
        <v>5000</v>
      </c>
      <c r="BC23" s="3"/>
      <c r="BD23" s="3"/>
      <c r="BE23" s="5">
        <v>2</v>
      </c>
      <c r="BF23" s="5">
        <v>8</v>
      </c>
      <c r="BG23" s="5">
        <v>98</v>
      </c>
      <c r="BH23" s="5"/>
      <c r="BI23" s="5">
        <v>29</v>
      </c>
      <c r="BJ23" s="5">
        <v>4</v>
      </c>
      <c r="BK23" s="5">
        <v>82</v>
      </c>
      <c r="BL23" s="5">
        <v>5</v>
      </c>
      <c r="BM23" s="5"/>
      <c r="BN23" s="5"/>
      <c r="BO23" s="5">
        <v>12</v>
      </c>
      <c r="BP23" s="5">
        <v>1</v>
      </c>
      <c r="BQ23" s="5">
        <v>16</v>
      </c>
      <c r="BR23" s="5">
        <v>1</v>
      </c>
      <c r="BS23" s="5"/>
      <c r="BT23" s="5">
        <v>1</v>
      </c>
      <c r="BU23" s="5">
        <v>5</v>
      </c>
      <c r="BV23" s="5">
        <v>349</v>
      </c>
      <c r="BW23" s="5">
        <v>33</v>
      </c>
      <c r="BX23" s="5"/>
      <c r="BY23" s="5">
        <v>1</v>
      </c>
      <c r="BZ23" s="5">
        <v>4</v>
      </c>
      <c r="CA23" s="5"/>
      <c r="CB23" s="5">
        <v>10</v>
      </c>
      <c r="CC23" s="5"/>
      <c r="CD23" s="5">
        <v>20</v>
      </c>
      <c r="CE23" s="5"/>
      <c r="CF23" s="5"/>
      <c r="CG23" s="5"/>
      <c r="CH23" s="5">
        <v>241</v>
      </c>
      <c r="CI23" s="5">
        <v>57</v>
      </c>
      <c r="CJ23" s="5">
        <v>14</v>
      </c>
      <c r="CK23" s="5"/>
      <c r="CL23" s="5">
        <v>28</v>
      </c>
      <c r="CM23" s="5">
        <v>6</v>
      </c>
      <c r="CN23" s="5"/>
      <c r="CO23" s="5">
        <v>1</v>
      </c>
      <c r="CP23" s="5"/>
      <c r="CQ23" s="5">
        <v>7</v>
      </c>
      <c r="CR23" s="5">
        <v>1</v>
      </c>
      <c r="CS23" s="5">
        <v>58</v>
      </c>
      <c r="CT23" s="5">
        <v>11</v>
      </c>
      <c r="CU23" s="5">
        <v>5</v>
      </c>
      <c r="CV23" s="5">
        <v>1</v>
      </c>
      <c r="CW23" s="5">
        <v>6</v>
      </c>
      <c r="CX23" s="5"/>
      <c r="CY23" s="5"/>
      <c r="CZ23" s="5"/>
      <c r="DA23" s="5">
        <v>1</v>
      </c>
      <c r="DB23" s="5"/>
      <c r="DC23" s="5"/>
      <c r="DD23" s="5">
        <v>1</v>
      </c>
      <c r="DE23" s="5"/>
      <c r="DF23" s="5"/>
      <c r="DG23" s="3">
        <v>43914731.123907156</v>
      </c>
    </row>
    <row r="24" spans="1:111" ht="18" customHeight="1">
      <c r="A24" t="s">
        <v>24</v>
      </c>
      <c r="B24" s="5">
        <v>298</v>
      </c>
      <c r="C24" s="3"/>
      <c r="D24" s="3">
        <v>24419</v>
      </c>
      <c r="E24" s="3">
        <v>692962</v>
      </c>
      <c r="F24" s="3"/>
      <c r="G24" s="3">
        <v>76174</v>
      </c>
      <c r="H24" s="3">
        <v>121574</v>
      </c>
      <c r="I24" s="3">
        <v>110558.76000000002</v>
      </c>
      <c r="J24" s="3"/>
      <c r="K24" s="3"/>
      <c r="L24" s="3"/>
      <c r="M24" s="3">
        <v>880</v>
      </c>
      <c r="N24" s="3">
        <v>177903.72</v>
      </c>
      <c r="O24" s="3">
        <v>124000</v>
      </c>
      <c r="P24" s="3">
        <v>10151</v>
      </c>
      <c r="Q24" s="3">
        <v>1000</v>
      </c>
      <c r="R24" s="3"/>
      <c r="S24" s="3">
        <v>2963</v>
      </c>
      <c r="T24" s="3">
        <v>4122473.3800000004</v>
      </c>
      <c r="U24" s="3">
        <v>1242400</v>
      </c>
      <c r="V24" s="3"/>
      <c r="W24" s="3">
        <v>22000</v>
      </c>
      <c r="X24" s="3"/>
      <c r="Y24" s="3"/>
      <c r="Z24" s="3">
        <v>350700</v>
      </c>
      <c r="AA24" s="3"/>
      <c r="AB24" s="3">
        <v>231000</v>
      </c>
      <c r="AC24" s="3"/>
      <c r="AD24" s="3"/>
      <c r="AE24" s="3">
        <v>37027</v>
      </c>
      <c r="AF24" s="3"/>
      <c r="AG24" s="3">
        <v>413711</v>
      </c>
      <c r="AH24" s="3">
        <v>24000</v>
      </c>
      <c r="AI24" s="3"/>
      <c r="AJ24" s="3">
        <v>57669</v>
      </c>
      <c r="AK24" s="3">
        <v>19700</v>
      </c>
      <c r="AL24" s="3"/>
      <c r="AM24" s="3"/>
      <c r="AN24" s="3"/>
      <c r="AO24" s="3">
        <v>184300</v>
      </c>
      <c r="AP24" s="3"/>
      <c r="AQ24" s="3"/>
      <c r="AR24" s="3">
        <v>188000</v>
      </c>
      <c r="AS24" s="3">
        <v>3450</v>
      </c>
      <c r="AT24" s="3"/>
      <c r="AU24" s="3">
        <v>500</v>
      </c>
      <c r="AV24" s="3"/>
      <c r="AW24" s="3"/>
      <c r="AX24" s="3"/>
      <c r="AY24" s="3"/>
      <c r="AZ24" s="3"/>
      <c r="BA24" s="3"/>
      <c r="BB24" s="3">
        <v>10000</v>
      </c>
      <c r="BC24" s="3"/>
      <c r="BD24" s="3"/>
      <c r="BE24" s="5"/>
      <c r="BF24" s="5">
        <v>4</v>
      </c>
      <c r="BG24" s="5">
        <v>30</v>
      </c>
      <c r="BH24" s="5"/>
      <c r="BI24" s="5">
        <v>2</v>
      </c>
      <c r="BJ24" s="5">
        <v>1</v>
      </c>
      <c r="BK24" s="5">
        <v>34</v>
      </c>
      <c r="BL24" s="5"/>
      <c r="BM24" s="5"/>
      <c r="BN24" s="5"/>
      <c r="BO24" s="5">
        <v>1</v>
      </c>
      <c r="BP24" s="5">
        <v>27</v>
      </c>
      <c r="BQ24" s="5">
        <v>2</v>
      </c>
      <c r="BR24" s="5">
        <v>3</v>
      </c>
      <c r="BS24" s="5">
        <v>1</v>
      </c>
      <c r="BT24" s="5"/>
      <c r="BU24" s="5">
        <v>2</v>
      </c>
      <c r="BV24" s="5">
        <v>106</v>
      </c>
      <c r="BW24" s="5">
        <v>16</v>
      </c>
      <c r="BX24" s="5"/>
      <c r="BY24" s="5">
        <v>1</v>
      </c>
      <c r="BZ24" s="5"/>
      <c r="CA24" s="5"/>
      <c r="CB24" s="5">
        <v>3</v>
      </c>
      <c r="CC24" s="5"/>
      <c r="CD24" s="5">
        <v>8</v>
      </c>
      <c r="CE24" s="5"/>
      <c r="CF24" s="5"/>
      <c r="CG24" s="5">
        <v>19</v>
      </c>
      <c r="CH24" s="5"/>
      <c r="CI24" s="5">
        <v>14</v>
      </c>
      <c r="CJ24" s="5">
        <v>4</v>
      </c>
      <c r="CK24" s="5"/>
      <c r="CL24" s="5">
        <v>8</v>
      </c>
      <c r="CM24" s="5">
        <v>2</v>
      </c>
      <c r="CN24" s="5"/>
      <c r="CO24" s="5"/>
      <c r="CP24" s="5"/>
      <c r="CQ24" s="5">
        <v>2</v>
      </c>
      <c r="CR24" s="5"/>
      <c r="CS24" s="5"/>
      <c r="CT24" s="5">
        <v>4</v>
      </c>
      <c r="CU24" s="5">
        <v>1</v>
      </c>
      <c r="CV24" s="5"/>
      <c r="CW24" s="5">
        <v>1</v>
      </c>
      <c r="CX24" s="5"/>
      <c r="CY24" s="5"/>
      <c r="CZ24" s="5"/>
      <c r="DA24" s="5"/>
      <c r="DB24" s="5"/>
      <c r="DC24" s="5"/>
      <c r="DD24" s="5">
        <v>2</v>
      </c>
      <c r="DE24" s="5"/>
      <c r="DF24" s="5"/>
      <c r="DG24" s="3">
        <v>8249515.8600000003</v>
      </c>
    </row>
    <row r="25" spans="1:111" ht="18" customHeight="1">
      <c r="A25" t="s">
        <v>25</v>
      </c>
      <c r="B25" s="5">
        <v>457</v>
      </c>
      <c r="C25" s="3"/>
      <c r="D25" s="3">
        <v>27000</v>
      </c>
      <c r="E25" s="3">
        <v>1588775</v>
      </c>
      <c r="F25" s="3"/>
      <c r="G25" s="3">
        <v>201722</v>
      </c>
      <c r="H25" s="3">
        <v>123735</v>
      </c>
      <c r="I25" s="3">
        <v>89220.9</v>
      </c>
      <c r="J25" s="3">
        <v>843628</v>
      </c>
      <c r="K25" s="3"/>
      <c r="L25" s="3"/>
      <c r="M25" s="3">
        <v>3838</v>
      </c>
      <c r="N25" s="3"/>
      <c r="O25" s="3">
        <v>332269</v>
      </c>
      <c r="P25" s="3">
        <v>7863</v>
      </c>
      <c r="Q25" s="3"/>
      <c r="R25" s="3"/>
      <c r="S25" s="3">
        <v>411</v>
      </c>
      <c r="T25" s="3">
        <v>3413472.4599999995</v>
      </c>
      <c r="U25" s="3">
        <v>2487400</v>
      </c>
      <c r="V25" s="3">
        <v>33972</v>
      </c>
      <c r="W25" s="3"/>
      <c r="X25" s="3"/>
      <c r="Y25" s="3"/>
      <c r="Z25" s="3">
        <v>12500</v>
      </c>
      <c r="AA25" s="3"/>
      <c r="AB25" s="3">
        <v>21500</v>
      </c>
      <c r="AC25" s="3"/>
      <c r="AD25" s="3"/>
      <c r="AE25" s="3">
        <v>25385</v>
      </c>
      <c r="AF25" s="3"/>
      <c r="AG25" s="3">
        <v>134945</v>
      </c>
      <c r="AH25" s="3">
        <v>39500</v>
      </c>
      <c r="AI25" s="3"/>
      <c r="AJ25" s="3">
        <v>70000</v>
      </c>
      <c r="AK25" s="3">
        <v>44200</v>
      </c>
      <c r="AL25" s="3"/>
      <c r="AM25" s="3"/>
      <c r="AN25" s="3">
        <v>20000</v>
      </c>
      <c r="AO25" s="3">
        <v>70000</v>
      </c>
      <c r="AP25" s="3">
        <v>55000</v>
      </c>
      <c r="AQ25" s="3"/>
      <c r="AR25" s="3"/>
      <c r="AS25" s="3"/>
      <c r="AT25" s="3">
        <v>250000</v>
      </c>
      <c r="AU25" s="3">
        <v>500</v>
      </c>
      <c r="AV25" s="3"/>
      <c r="AW25" s="3"/>
      <c r="AX25" s="3"/>
      <c r="AY25" s="3"/>
      <c r="AZ25" s="3"/>
      <c r="BA25" s="3"/>
      <c r="BB25" s="3">
        <v>79979.399999999994</v>
      </c>
      <c r="BC25" s="3">
        <v>442359.59</v>
      </c>
      <c r="BD25" s="3">
        <v>195758.99</v>
      </c>
      <c r="BE25" s="5"/>
      <c r="BF25" s="5">
        <v>6</v>
      </c>
      <c r="BG25" s="5">
        <v>35</v>
      </c>
      <c r="BH25" s="5"/>
      <c r="BI25" s="5">
        <v>4</v>
      </c>
      <c r="BJ25" s="5">
        <v>1</v>
      </c>
      <c r="BK25" s="5">
        <v>45</v>
      </c>
      <c r="BL25" s="5">
        <v>3</v>
      </c>
      <c r="BM25" s="5"/>
      <c r="BN25" s="5"/>
      <c r="BO25" s="5">
        <v>5</v>
      </c>
      <c r="BP25" s="5"/>
      <c r="BQ25" s="5">
        <v>5</v>
      </c>
      <c r="BR25" s="5">
        <v>2</v>
      </c>
      <c r="BS25" s="5"/>
      <c r="BT25" s="5"/>
      <c r="BU25" s="5">
        <v>1</v>
      </c>
      <c r="BV25" s="5">
        <v>73</v>
      </c>
      <c r="BW25" s="5">
        <v>16</v>
      </c>
      <c r="BX25" s="5">
        <v>1</v>
      </c>
      <c r="BY25" s="5"/>
      <c r="BZ25" s="5"/>
      <c r="CA25" s="5"/>
      <c r="CB25" s="5">
        <v>2</v>
      </c>
      <c r="CC25" s="5"/>
      <c r="CD25" s="5">
        <v>4</v>
      </c>
      <c r="CE25" s="5"/>
      <c r="CF25" s="5"/>
      <c r="CG25" s="5">
        <v>18</v>
      </c>
      <c r="CH25" s="5"/>
      <c r="CI25" s="5">
        <v>11</v>
      </c>
      <c r="CJ25" s="5">
        <v>10</v>
      </c>
      <c r="CK25" s="5"/>
      <c r="CL25" s="5">
        <v>8</v>
      </c>
      <c r="CM25" s="5">
        <v>3</v>
      </c>
      <c r="CN25" s="5"/>
      <c r="CO25" s="5"/>
      <c r="CP25" s="5">
        <v>2</v>
      </c>
      <c r="CQ25" s="5">
        <v>1</v>
      </c>
      <c r="CR25" s="5">
        <v>2</v>
      </c>
      <c r="CS25" s="5"/>
      <c r="CT25" s="5"/>
      <c r="CU25" s="5"/>
      <c r="CV25" s="5">
        <v>3</v>
      </c>
      <c r="CW25" s="5">
        <v>1</v>
      </c>
      <c r="CX25" s="5"/>
      <c r="CY25" s="5"/>
      <c r="CZ25" s="5"/>
      <c r="DA25" s="5"/>
      <c r="DB25" s="5"/>
      <c r="DC25" s="5"/>
      <c r="DD25" s="5">
        <v>1</v>
      </c>
      <c r="DE25" s="5">
        <v>100</v>
      </c>
      <c r="DF25" s="5">
        <v>94</v>
      </c>
      <c r="DG25" s="3">
        <v>10614934.34</v>
      </c>
    </row>
    <row r="26" spans="1:111" ht="18" customHeight="1">
      <c r="A26" t="s">
        <v>82</v>
      </c>
      <c r="B26" s="5">
        <f>SUBTOTAL(109,Table2[Total Number of Awards])</f>
        <v>9887</v>
      </c>
      <c r="C26" s="3">
        <f>SUBTOTAL(109,Table2[AB Charitable Trust])</f>
        <v>182500</v>
      </c>
      <c r="D26" s="3">
        <f>SUBTOTAL(109,Table2[Allen Lane Foundation])</f>
        <v>279537</v>
      </c>
      <c r="E26" s="3">
        <f>SUBTOTAL(109,Table2[Arts Council])</f>
        <v>36249772.116193756</v>
      </c>
      <c r="F26" s="3">
        <f>SUBTOTAL(109,Table2[Barrow Cadbury Trust])</f>
        <v>81050</v>
      </c>
      <c r="G26" s="3">
        <f>SUBTOTAL(109,Table2[BBC Children in Need])</f>
        <v>8199255.2999999998</v>
      </c>
      <c r="H26" s="3">
        <f>SUBTOTAL(109,Table2[Comic Relief])</f>
        <v>2983159</v>
      </c>
      <c r="I26" s="3">
        <f>SUBTOTAL(109,Table2[Cooperative Group])</f>
        <v>1910300.3699999996</v>
      </c>
      <c r="J26" s="3">
        <f>SUBTOTAL(109,Table2[Esmée Fairbairn Foundation])</f>
        <v>5210970.01</v>
      </c>
      <c r="K26" s="3">
        <f>SUBTOTAL(109,Table2[[Indigo Trust ]])</f>
        <v>2000</v>
      </c>
      <c r="L26" s="3">
        <f>SUBTOTAL(109,Table2[LandAid])</f>
        <v>230000</v>
      </c>
      <c r="M26" s="3">
        <f>SUBTOTAL(109,Table2[Leeds Building Society Foundation])</f>
        <v>39663.68</v>
      </c>
      <c r="N26" s="3">
        <f>SUBTOTAL(109,Table2[Leeds Community Foundation])</f>
        <v>11311312.019999983</v>
      </c>
      <c r="O26" s="3">
        <f>SUBTOTAL(109,Table2[Lloyds Bank Foundation])</f>
        <v>4343538</v>
      </c>
      <c r="P26" s="3">
        <f>SUBTOTAL(109,Table2[Masonic Charitable Foundation])</f>
        <v>90834</v>
      </c>
      <c r="Q26" s="3">
        <f>SUBTOTAL(109,Table2[[Metis Trust ]])</f>
        <v>59940</v>
      </c>
      <c r="R26" s="3">
        <f>SUBTOTAL(109,Table2[Mollie Croysdale Charitable Trust])</f>
        <v>5600</v>
      </c>
      <c r="S26" s="3">
        <f>SUBTOTAL(109,Table2[National Churches Trust])</f>
        <v>197222</v>
      </c>
      <c r="T26" s="3">
        <f>SUBTOTAL(109,Table2[National Lottery Community Fund])</f>
        <v>137133897.41999999</v>
      </c>
      <c r="U26" s="3">
        <f>SUBTOTAL(109,Table2[National Lottery Heritage Fund])</f>
        <v>45588500</v>
      </c>
      <c r="V26" s="3">
        <f>SUBTOTAL(109,Table2[Nationwide Foundation])</f>
        <v>553532</v>
      </c>
      <c r="W26" s="3">
        <f>SUBTOTAL(109,Table2[NESTA])</f>
        <v>505087</v>
      </c>
      <c r="X26" s="3">
        <f>SUBTOTAL(109,Table2[Paul Hamlyn Foundation])</f>
        <v>1377165</v>
      </c>
      <c r="Y26" s="3">
        <f>SUBTOTAL(109,Table2[Pears Foundation])</f>
        <v>618725</v>
      </c>
      <c r="Z26" s="3">
        <f>SUBTOTAL(109,Table2[Power to Change])</f>
        <v>2948402</v>
      </c>
      <c r="AA26" s="3">
        <f>SUBTOTAL(109,Table2[R S Macdonald Charitable Trust])</f>
        <v>11500</v>
      </c>
      <c r="AB26" s="3">
        <f>SUBTOTAL(109,Table2[Liz &amp; Terry Bramall Foundation])</f>
        <v>7670178</v>
      </c>
      <c r="AC26" s="3">
        <f>SUBTOTAL(109,Table2[Scurrah Wainwright Charity])</f>
        <v>324860</v>
      </c>
      <c r="AD26" s="3">
        <f>SUBTOTAL(109,Table2[Seafarers UK])</f>
        <v>60000</v>
      </c>
      <c r="AE26" s="3">
        <f>SUBTOTAL(109,Table2[Sir George Martin Trust])</f>
        <v>535642</v>
      </c>
      <c r="AF26" s="3">
        <f>SUBTOTAL(109,Table2[South Yorkshire''s Community Foundation])</f>
        <v>1564384.69</v>
      </c>
      <c r="AG26" s="3">
        <f>SUBTOTAL(109,Table2[Sport England])</f>
        <v>22516461</v>
      </c>
      <c r="AH26" s="3">
        <f>SUBTOTAL(109,Table2[Charles &amp; Elsie Sykes Trust])</f>
        <v>756975</v>
      </c>
      <c r="AI26" s="3">
        <f>SUBTOTAL(109,Table2[Tarn Moor Estate])</f>
        <v>42215.18</v>
      </c>
      <c r="AJ26" s="3">
        <f>SUBTOTAL(109,Table2[[The Brelms Trust ]])</f>
        <v>1325179</v>
      </c>
      <c r="AK26" s="3">
        <f>SUBTOTAL(109,Table2[The Clothworkers Foundation])</f>
        <v>604050</v>
      </c>
      <c r="AL26" s="3">
        <f>SUBTOTAL(109,Table2[The Craven Trust and the Beamsley Trust])</f>
        <v>74189.36</v>
      </c>
      <c r="AM26" s="3">
        <f>SUBTOTAL(109,Table2[The Dulverton Trust])</f>
        <v>207879</v>
      </c>
      <c r="AN26" s="3">
        <f>SUBTOTAL(109,Table2[The HBJ Trust])</f>
        <v>26000</v>
      </c>
      <c r="AO26" s="3">
        <f>SUBTOTAL(109,Table2[The Henry Smith Charity])</f>
        <v>3110910</v>
      </c>
      <c r="AP26" s="3">
        <f>SUBTOTAL(109,Table2[The Jospeh Rank Trust])</f>
        <v>260000</v>
      </c>
      <c r="AQ26" s="3">
        <f>SUBTOTAL(109,Table2[The Talbot Trusts])</f>
        <v>159313</v>
      </c>
      <c r="AR26" s="3">
        <f>SUBTOTAL(109,Table2[The Tudor Trust])</f>
        <v>4387850</v>
      </c>
      <c r="AS26" s="3">
        <f>SUBTOTAL(109,Table2[The Wharfedale Foundation])</f>
        <v>122058</v>
      </c>
      <c r="AT26" s="3">
        <f>SUBTOTAL(109,Table2[Wolfson Foundation])</f>
        <v>528000</v>
      </c>
      <c r="AU26" s="3">
        <f>SUBTOTAL(109,Table2[Woodward Charitable Trust])</f>
        <v>23900</v>
      </c>
      <c r="AV26" s="3">
        <f>SUBTOTAL(109,Table2[Garfield Weston Foundation])</f>
        <v>2624897</v>
      </c>
      <c r="AW26" s="3">
        <f>SUBTOTAL(109,Table2[Lankelly Chase Foundation])</f>
        <v>766358.2</v>
      </c>
      <c r="AX26" s="3">
        <f>SUBTOTAL(109,Table2[Samworth Foundation])</f>
        <v>144968</v>
      </c>
      <c r="AY26" s="3">
        <f>SUBTOTAL(109,Table2[Tedworth Charitable Trust])</f>
        <v>17100</v>
      </c>
      <c r="AZ26" s="3">
        <f>SUBTOTAL(109,Table2[Three Guineas Trust])</f>
        <v>4700</v>
      </c>
      <c r="BA26" s="3">
        <f>SUBTOTAL(109,Table2[Tuixen Foundation])</f>
        <v>25000</v>
      </c>
      <c r="BB26" s="3">
        <f>SUBTOTAL(109,Table2[True Colours Trust])</f>
        <v>275280.40000000002</v>
      </c>
      <c r="BC26" s="3">
        <f>SUBTOTAL(109,Table2[Joseph Rowntree Foundation])</f>
        <v>442359.59</v>
      </c>
      <c r="BD26" s="3">
        <f>SUBTOTAL(109,Table2[Two Ridings Community Foundation])</f>
        <v>1971871.8900000001</v>
      </c>
      <c r="BE26" s="31">
        <f>SUBTOTAL(109,Table2[AB Charitable Trust2])</f>
        <v>17</v>
      </c>
      <c r="BF26" s="31">
        <f>SUBTOTAL(109,Table2[Allen Lane Foundation3])</f>
        <v>58</v>
      </c>
      <c r="BG26" s="31">
        <f>SUBTOTAL(109,Table2[Arts Council4])</f>
        <v>755</v>
      </c>
      <c r="BH26" s="31">
        <f>SUBTOTAL(109,Table2[Barrow Cadbury Trust5])</f>
        <v>5</v>
      </c>
      <c r="BI26" s="31">
        <f>SUBTOTAL(109,Table2[BBC Children in Need6])</f>
        <v>155</v>
      </c>
      <c r="BJ26" s="31">
        <f>SUBTOTAL(109,Table2[Comic Relief7])</f>
        <v>32</v>
      </c>
      <c r="BK26" s="31">
        <f>SUBTOTAL(109,Table2[Cooperative Group8])</f>
        <v>818</v>
      </c>
      <c r="BL26" s="31">
        <f>SUBTOTAL(109,Table2[Esmée Fairbairn Foundation9])</f>
        <v>45</v>
      </c>
      <c r="BM26" s="31">
        <f>SUBTOTAL(109,Table2[Indigo Trust 10])</f>
        <v>1</v>
      </c>
      <c r="BN26" s="31">
        <f>SUBTOTAL(109,Table2[LandAid11])</f>
        <v>2</v>
      </c>
      <c r="BO26" s="31">
        <f>SUBTOTAL(109,Table2[LBS Foundation12])</f>
        <v>44</v>
      </c>
      <c r="BP26" s="31">
        <f>SUBTOTAL(109,Table2[Leeds Community Foundation13])</f>
        <v>1479</v>
      </c>
      <c r="BQ26" s="31">
        <f>SUBTOTAL(109,Table2[Lloyds Bank Foundation14])</f>
        <v>97</v>
      </c>
      <c r="BR26" s="31">
        <f>SUBTOTAL(109,Table2[Masonic Charitable Foundation15])</f>
        <v>28</v>
      </c>
      <c r="BS26" s="31">
        <f>SUBTOTAL(109,Table2[Metis Trust 16])</f>
        <v>31</v>
      </c>
      <c r="BT26" s="31">
        <f>SUBTOTAL(109,Table2[Mollie Croysdale Charitable Trust17])</f>
        <v>6</v>
      </c>
      <c r="BU26" s="31">
        <f>SUBTOTAL(109,Table2[National Churches Trust18])</f>
        <v>27</v>
      </c>
      <c r="BV26" s="31">
        <f>SUBTOTAL(109,Table2[National Lottery Community Fund19])</f>
        <v>2628</v>
      </c>
      <c r="BW26" s="31">
        <f>SUBTOTAL(109,Table2[National Lottery Heritage Fund20])</f>
        <v>289</v>
      </c>
      <c r="BX26" s="31">
        <f>SUBTOTAL(109,Table2[Nationwide Foundation21])</f>
        <v>5</v>
      </c>
      <c r="BY26" s="31">
        <f>SUBTOTAL(109,Table2[NESTA22])</f>
        <v>10</v>
      </c>
      <c r="BZ26" s="31">
        <f>SUBTOTAL(109,Table2[Paul Hamlyn Foundation23])</f>
        <v>16</v>
      </c>
      <c r="CA26" s="31">
        <f>SUBTOTAL(109,Table2[Pears Foundation24])</f>
        <v>4</v>
      </c>
      <c r="CB26" s="31">
        <f>SUBTOTAL(109,Table2[Power to Change25])</f>
        <v>32</v>
      </c>
      <c r="CC26" s="31">
        <f>SUBTOTAL(109,Table2[R S Macdonald Charitable Trust26])</f>
        <v>3</v>
      </c>
      <c r="CD26" s="31">
        <f>SUBTOTAL(109,Table2[Rawhorts27])</f>
        <v>344</v>
      </c>
      <c r="CE26" s="31">
        <f>SUBTOTAL(109,Table2[Scurrah Wainwright Charity28])</f>
        <v>98</v>
      </c>
      <c r="CF26" s="31">
        <f>SUBTOTAL(109,Table2[Seafarers UK29])</f>
        <v>3</v>
      </c>
      <c r="CG26" s="31">
        <f>SUBTOTAL(109,Table2[Sir George Martin Trust30])</f>
        <v>346</v>
      </c>
      <c r="CH26" s="31">
        <f>SUBTOTAL(109,Table2[South Yorkshire Community Fund31])</f>
        <v>544</v>
      </c>
      <c r="CI26" s="31">
        <f>SUBTOTAL(109,Table2[Sport England32])</f>
        <v>352</v>
      </c>
      <c r="CJ26" s="31">
        <f>SUBTOTAL(109,Table2[Sykes Trust33])</f>
        <v>212</v>
      </c>
      <c r="CK26" s="31">
        <f>SUBTOTAL(109,Table2[Tarn Moor Estate34])</f>
        <v>14</v>
      </c>
      <c r="CL26" s="31">
        <f>SUBTOTAL(109,Table2[The Brelms Trust 35])</f>
        <v>152</v>
      </c>
      <c r="CM26" s="31">
        <f>SUBTOTAL(109,Table2[The Clothworkers Foundation36])</f>
        <v>33</v>
      </c>
      <c r="CN26" s="31">
        <f>SUBTOTAL(109,Table2[The Craven Trust and the Beamsley Trust37])</f>
        <v>80</v>
      </c>
      <c r="CO26" s="31">
        <f>SUBTOTAL(109,Table2[The Dulverton Trust38])</f>
        <v>5</v>
      </c>
      <c r="CP26" s="31">
        <f>SUBTOTAL(109,Table2[The HBJ Trust39])</f>
        <v>3</v>
      </c>
      <c r="CQ26" s="31">
        <f>SUBTOTAL(109,Table2[The Henry Smith Charity40])</f>
        <v>49</v>
      </c>
      <c r="CR26" s="31">
        <f>SUBTOTAL(109,Table2[The Jospeh Rank Trust41])</f>
        <v>9</v>
      </c>
      <c r="CS26" s="31">
        <f>SUBTOTAL(109,Table2[The Talbot Trusts42])</f>
        <v>62</v>
      </c>
      <c r="CT26" s="31">
        <f>SUBTOTAL(109,Table2[The Tudor Trust43])</f>
        <v>86</v>
      </c>
      <c r="CU26" s="31">
        <f>SUBTOTAL(109,Table2[The Wharfedale Foundation44])</f>
        <v>33</v>
      </c>
      <c r="CV26" s="31">
        <f>SUBTOTAL(109,Table2[Wolfson Foundation45])</f>
        <v>12</v>
      </c>
      <c r="CW26" s="31">
        <f>SUBTOTAL(109,Table2[Woodward Charitable Trust46])</f>
        <v>34</v>
      </c>
      <c r="CX26" s="31">
        <f>SUBTOTAL(109,Table2[Garfield Weston Foundation47])</f>
        <v>136</v>
      </c>
      <c r="CY26" s="31">
        <f>SUBTOTAL(109,Table2[Lankelly Chase Foundation48])</f>
        <v>9</v>
      </c>
      <c r="CZ26" s="31">
        <f>SUBTOTAL(109,Table2[Samworth Foundation49])</f>
        <v>1</v>
      </c>
      <c r="DA26" s="31">
        <f>SUBTOTAL(109,Table2[Tedworth Charitable Trust50])</f>
        <v>1</v>
      </c>
      <c r="DB26" s="31">
        <f>SUBTOTAL(109,Table2[Three Guineas Trust51])</f>
        <v>1</v>
      </c>
      <c r="DC26" s="31">
        <f>SUBTOTAL(109,Table2[Tuixen Foundation52])</f>
        <v>1</v>
      </c>
      <c r="DD26" s="31">
        <f>SUBTOTAL(109,Table2[True Colours Trust53])</f>
        <v>11</v>
      </c>
      <c r="DE26" s="31">
        <f>SUBTOTAL(109,Table2[Joseph Rowntree Foundation54])</f>
        <v>100</v>
      </c>
      <c r="DF26" s="31">
        <f>SUBTOTAL(109,Table2[Two Ridings Foundation55])</f>
        <v>569</v>
      </c>
      <c r="DG26" s="3">
        <f>SUBTOTAL(109,Table2[Grand Total])</f>
        <v>310686041.22619373</v>
      </c>
    </row>
  </sheetData>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25518-1F4F-4025-9AEB-F3D7B51B2791}">
  <sheetPr codeName="Sheet4"/>
  <dimension ref="A1:AZ58"/>
  <sheetViews>
    <sheetView topLeftCell="A22" workbookViewId="0">
      <selection activeCell="A32" sqref="A32"/>
    </sheetView>
  </sheetViews>
  <sheetFormatPr defaultColWidth="16.125" defaultRowHeight="14.25"/>
  <cols>
    <col min="1" max="1" width="28.25" customWidth="1"/>
  </cols>
  <sheetData>
    <row r="1" spans="1:52">
      <c r="C1" s="6" t="s">
        <v>85</v>
      </c>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2">
      <c r="A2" t="s">
        <v>0</v>
      </c>
      <c r="B2" t="s">
        <v>1</v>
      </c>
      <c r="C2" t="s">
        <v>2</v>
      </c>
      <c r="D2" s="8" t="s">
        <v>108</v>
      </c>
      <c r="E2" t="s">
        <v>3</v>
      </c>
      <c r="F2" s="8" t="s">
        <v>109</v>
      </c>
      <c r="G2" t="s">
        <v>4</v>
      </c>
      <c r="H2" s="8" t="s">
        <v>110</v>
      </c>
      <c r="I2" t="s">
        <v>5</v>
      </c>
      <c r="J2" s="8" t="s">
        <v>86</v>
      </c>
      <c r="K2" t="s">
        <v>6</v>
      </c>
      <c r="L2" s="8" t="s">
        <v>87</v>
      </c>
      <c r="M2" t="s">
        <v>7</v>
      </c>
      <c r="N2" s="8" t="s">
        <v>88</v>
      </c>
      <c r="O2" t="s">
        <v>8</v>
      </c>
      <c r="P2" s="8" t="s">
        <v>89</v>
      </c>
      <c r="Q2" t="s">
        <v>9</v>
      </c>
      <c r="R2" s="8" t="s">
        <v>90</v>
      </c>
      <c r="S2" t="s">
        <v>10</v>
      </c>
      <c r="T2" s="8" t="s">
        <v>91</v>
      </c>
      <c r="U2" t="s">
        <v>11</v>
      </c>
      <c r="V2" s="8" t="s">
        <v>92</v>
      </c>
      <c r="W2" t="s">
        <v>12</v>
      </c>
      <c r="X2" s="8" t="s">
        <v>93</v>
      </c>
      <c r="Y2" t="s">
        <v>13</v>
      </c>
      <c r="Z2" s="8" t="s">
        <v>106</v>
      </c>
      <c r="AA2" t="s">
        <v>14</v>
      </c>
      <c r="AB2" s="8" t="s">
        <v>105</v>
      </c>
      <c r="AC2" t="s">
        <v>15</v>
      </c>
      <c r="AD2" s="8" t="s">
        <v>104</v>
      </c>
      <c r="AE2" t="s">
        <v>16</v>
      </c>
      <c r="AF2" s="8" t="s">
        <v>103</v>
      </c>
      <c r="AG2" t="s">
        <v>17</v>
      </c>
      <c r="AH2" s="8" t="s">
        <v>102</v>
      </c>
      <c r="AI2" t="s">
        <v>18</v>
      </c>
      <c r="AJ2" s="8" t="s">
        <v>101</v>
      </c>
      <c r="AK2" t="s">
        <v>19</v>
      </c>
      <c r="AL2" s="8" t="s">
        <v>100</v>
      </c>
      <c r="AM2" t="s">
        <v>20</v>
      </c>
      <c r="AN2" s="8" t="s">
        <v>99</v>
      </c>
      <c r="AO2" t="s">
        <v>21</v>
      </c>
      <c r="AP2" s="8" t="s">
        <v>98</v>
      </c>
      <c r="AQ2" t="s">
        <v>22</v>
      </c>
      <c r="AR2" s="8" t="s">
        <v>97</v>
      </c>
      <c r="AS2" t="s">
        <v>23</v>
      </c>
      <c r="AT2" s="8" t="s">
        <v>96</v>
      </c>
      <c r="AU2" t="s">
        <v>24</v>
      </c>
      <c r="AV2" s="8" t="s">
        <v>95</v>
      </c>
      <c r="AW2" t="s">
        <v>25</v>
      </c>
      <c r="AX2" s="8" t="s">
        <v>94</v>
      </c>
      <c r="AY2" t="s">
        <v>77</v>
      </c>
      <c r="AZ2" s="8" t="s">
        <v>107</v>
      </c>
    </row>
    <row r="3" spans="1:52" ht="15">
      <c r="A3" t="s">
        <v>27</v>
      </c>
      <c r="B3" t="s">
        <v>28</v>
      </c>
      <c r="C3" s="1"/>
      <c r="D3" s="9"/>
      <c r="E3" s="1"/>
      <c r="F3" s="9"/>
      <c r="G3" s="1"/>
      <c r="H3" s="9"/>
      <c r="I3" s="1"/>
      <c r="J3" s="9"/>
      <c r="K3" s="1">
        <v>15000</v>
      </c>
      <c r="L3" s="9">
        <v>2</v>
      </c>
      <c r="M3" s="1"/>
      <c r="N3" s="9"/>
      <c r="O3" s="1"/>
      <c r="P3" s="9"/>
      <c r="Q3" s="1"/>
      <c r="R3" s="9"/>
      <c r="S3" s="1"/>
      <c r="T3" s="9"/>
      <c r="U3" s="1"/>
      <c r="V3" s="9"/>
      <c r="W3" s="1"/>
      <c r="X3" s="9"/>
      <c r="Y3" s="1"/>
      <c r="Z3" s="9"/>
      <c r="AA3" s="1">
        <v>10000</v>
      </c>
      <c r="AB3" s="9">
        <v>1</v>
      </c>
      <c r="AC3" s="1">
        <v>127500</v>
      </c>
      <c r="AD3" s="9">
        <v>12</v>
      </c>
      <c r="AE3" s="1"/>
      <c r="AF3" s="9"/>
      <c r="AG3" s="1"/>
      <c r="AH3" s="9"/>
      <c r="AI3" s="1"/>
      <c r="AJ3" s="9"/>
      <c r="AK3" s="1"/>
      <c r="AL3" s="9"/>
      <c r="AM3" s="1"/>
      <c r="AN3" s="9"/>
      <c r="AO3" s="1"/>
      <c r="AP3" s="9"/>
      <c r="AQ3" s="1"/>
      <c r="AR3" s="9"/>
      <c r="AS3" s="1">
        <v>30000</v>
      </c>
      <c r="AT3" s="9">
        <v>2</v>
      </c>
      <c r="AU3" s="1"/>
      <c r="AV3" s="9"/>
      <c r="AW3" s="1"/>
      <c r="AX3" s="9"/>
      <c r="AY3" s="2">
        <v>182500</v>
      </c>
      <c r="AZ3" s="9">
        <v>17</v>
      </c>
    </row>
    <row r="4" spans="1:52" ht="15">
      <c r="A4" t="s">
        <v>29</v>
      </c>
      <c r="B4" t="s">
        <v>30</v>
      </c>
      <c r="C4" s="1"/>
      <c r="D4" s="9"/>
      <c r="E4" s="1"/>
      <c r="F4" s="9"/>
      <c r="G4" s="1"/>
      <c r="H4" s="9"/>
      <c r="I4" s="1"/>
      <c r="J4" s="9"/>
      <c r="K4" s="1">
        <v>33277</v>
      </c>
      <c r="L4" s="9">
        <v>5</v>
      </c>
      <c r="M4" s="1">
        <v>9113</v>
      </c>
      <c r="N4" s="9">
        <v>1</v>
      </c>
      <c r="O4" s="1"/>
      <c r="P4" s="9"/>
      <c r="Q4" s="1">
        <v>3730</v>
      </c>
      <c r="R4" s="9">
        <v>2</v>
      </c>
      <c r="S4" s="1">
        <v>11740</v>
      </c>
      <c r="T4" s="9">
        <v>3</v>
      </c>
      <c r="U4" s="1"/>
      <c r="V4" s="9"/>
      <c r="W4" s="1"/>
      <c r="X4" s="9"/>
      <c r="Y4" s="1">
        <v>18512</v>
      </c>
      <c r="Z4" s="9">
        <v>4</v>
      </c>
      <c r="AA4" s="1">
        <v>37400</v>
      </c>
      <c r="AB4" s="9">
        <v>8</v>
      </c>
      <c r="AC4" s="1">
        <v>65500</v>
      </c>
      <c r="AD4" s="9">
        <v>12</v>
      </c>
      <c r="AE4" s="1"/>
      <c r="AF4" s="9"/>
      <c r="AG4" s="1"/>
      <c r="AH4" s="9"/>
      <c r="AI4" s="1"/>
      <c r="AJ4" s="9"/>
      <c r="AK4" s="1">
        <v>3000</v>
      </c>
      <c r="AL4" s="9">
        <v>1</v>
      </c>
      <c r="AM4" s="1">
        <v>3000</v>
      </c>
      <c r="AN4" s="9">
        <v>1</v>
      </c>
      <c r="AO4" s="1">
        <v>11466</v>
      </c>
      <c r="AP4" s="9">
        <v>3</v>
      </c>
      <c r="AQ4" s="1"/>
      <c r="AR4" s="9"/>
      <c r="AS4" s="1">
        <v>31380</v>
      </c>
      <c r="AT4" s="9">
        <v>8</v>
      </c>
      <c r="AU4" s="1">
        <v>24419</v>
      </c>
      <c r="AV4" s="9">
        <v>4</v>
      </c>
      <c r="AW4" s="1">
        <v>27000</v>
      </c>
      <c r="AX4" s="9">
        <v>6</v>
      </c>
      <c r="AY4" s="2">
        <v>279537</v>
      </c>
      <c r="AZ4" s="9">
        <v>58</v>
      </c>
    </row>
    <row r="5" spans="1:52" ht="15">
      <c r="A5" t="s">
        <v>31</v>
      </c>
      <c r="B5" t="s">
        <v>173</v>
      </c>
      <c r="C5" s="1"/>
      <c r="D5" s="9"/>
      <c r="E5" s="1"/>
      <c r="F5" s="9"/>
      <c r="G5" s="1"/>
      <c r="H5" s="9"/>
      <c r="I5" s="1">
        <v>443663</v>
      </c>
      <c r="J5" s="9">
        <v>17</v>
      </c>
      <c r="K5" s="1">
        <v>1895409.2384319063</v>
      </c>
      <c r="L5" s="9">
        <v>57</v>
      </c>
      <c r="M5" s="1">
        <v>2200148.7916614143</v>
      </c>
      <c r="N5" s="9">
        <v>48</v>
      </c>
      <c r="O5" s="1">
        <v>411523</v>
      </c>
      <c r="P5" s="9">
        <v>10</v>
      </c>
      <c r="Q5" s="1">
        <v>144789</v>
      </c>
      <c r="R5" s="9">
        <v>13</v>
      </c>
      <c r="S5" s="1">
        <v>503316</v>
      </c>
      <c r="T5" s="9">
        <v>24</v>
      </c>
      <c r="U5" s="1">
        <v>277592.82195358363</v>
      </c>
      <c r="V5" s="9">
        <v>9</v>
      </c>
      <c r="W5" s="1">
        <v>468352</v>
      </c>
      <c r="X5" s="9">
        <v>22</v>
      </c>
      <c r="Y5" s="1">
        <v>3559492</v>
      </c>
      <c r="Z5" s="9">
        <v>46</v>
      </c>
      <c r="AA5" s="1">
        <v>1193777</v>
      </c>
      <c r="AB5" s="9">
        <v>52</v>
      </c>
      <c r="AC5" s="1">
        <v>18178554.620239682</v>
      </c>
      <c r="AD5" s="9">
        <v>203</v>
      </c>
      <c r="AE5" s="1">
        <v>468325</v>
      </c>
      <c r="AF5" s="9">
        <v>24</v>
      </c>
      <c r="AG5" s="1">
        <v>79337</v>
      </c>
      <c r="AH5" s="9">
        <v>8</v>
      </c>
      <c r="AI5" s="1">
        <v>129493</v>
      </c>
      <c r="AJ5" s="9">
        <v>6</v>
      </c>
      <c r="AK5" s="1">
        <v>266679</v>
      </c>
      <c r="AL5" s="9">
        <v>12</v>
      </c>
      <c r="AM5" s="1">
        <v>133945</v>
      </c>
      <c r="AN5" s="9">
        <v>10</v>
      </c>
      <c r="AO5" s="1">
        <v>492571</v>
      </c>
      <c r="AP5" s="9">
        <v>24</v>
      </c>
      <c r="AQ5" s="1">
        <v>133265</v>
      </c>
      <c r="AR5" s="9">
        <v>7</v>
      </c>
      <c r="AS5" s="1">
        <v>2987802.643907167</v>
      </c>
      <c r="AT5" s="9">
        <v>98</v>
      </c>
      <c r="AU5" s="1">
        <v>692962</v>
      </c>
      <c r="AV5" s="9">
        <v>30</v>
      </c>
      <c r="AW5" s="1">
        <v>1588775</v>
      </c>
      <c r="AX5" s="9">
        <v>35</v>
      </c>
      <c r="AY5" s="2">
        <v>36249772.116193756</v>
      </c>
      <c r="AZ5" s="9">
        <v>755</v>
      </c>
    </row>
    <row r="6" spans="1:52" ht="15">
      <c r="A6" t="s">
        <v>32</v>
      </c>
      <c r="B6" t="s">
        <v>28</v>
      </c>
      <c r="C6" s="1"/>
      <c r="D6" s="9"/>
      <c r="E6" s="1"/>
      <c r="F6" s="9"/>
      <c r="G6" s="1"/>
      <c r="H6" s="9"/>
      <c r="I6" s="1"/>
      <c r="J6" s="9"/>
      <c r="K6" s="1"/>
      <c r="L6" s="9"/>
      <c r="M6" s="1"/>
      <c r="N6" s="9"/>
      <c r="O6" s="1"/>
      <c r="P6" s="9"/>
      <c r="Q6" s="1"/>
      <c r="R6" s="9"/>
      <c r="S6" s="1"/>
      <c r="T6" s="9"/>
      <c r="U6" s="1"/>
      <c r="V6" s="9"/>
      <c r="W6" s="1">
        <v>15000</v>
      </c>
      <c r="X6" s="9">
        <v>1</v>
      </c>
      <c r="Y6" s="1"/>
      <c r="Z6" s="9"/>
      <c r="AA6" s="1"/>
      <c r="AB6" s="9"/>
      <c r="AC6" s="1">
        <v>66050</v>
      </c>
      <c r="AD6" s="9">
        <v>4</v>
      </c>
      <c r="AE6" s="1"/>
      <c r="AF6" s="9"/>
      <c r="AG6" s="1"/>
      <c r="AH6" s="9"/>
      <c r="AI6" s="1"/>
      <c r="AJ6" s="9"/>
      <c r="AK6" s="1"/>
      <c r="AL6" s="9"/>
      <c r="AM6" s="1"/>
      <c r="AN6" s="9"/>
      <c r="AO6" s="1"/>
      <c r="AP6" s="9"/>
      <c r="AQ6" s="1"/>
      <c r="AR6" s="9"/>
      <c r="AS6" s="1"/>
      <c r="AT6" s="9"/>
      <c r="AU6" s="1"/>
      <c r="AV6" s="9"/>
      <c r="AW6" s="1"/>
      <c r="AX6" s="9"/>
      <c r="AY6" s="2">
        <v>81050</v>
      </c>
      <c r="AZ6" s="9">
        <v>5</v>
      </c>
    </row>
    <row r="7" spans="1:52" ht="15">
      <c r="A7" t="s">
        <v>33</v>
      </c>
      <c r="B7" t="s">
        <v>28</v>
      </c>
      <c r="C7" s="1"/>
      <c r="D7" s="9"/>
      <c r="E7" s="1"/>
      <c r="F7" s="9"/>
      <c r="G7" s="1"/>
      <c r="H7" s="9"/>
      <c r="I7" s="1">
        <v>10000</v>
      </c>
      <c r="J7" s="9">
        <v>1</v>
      </c>
      <c r="K7" s="1">
        <v>1911619.8</v>
      </c>
      <c r="L7" s="9">
        <v>30</v>
      </c>
      <c r="M7" s="1">
        <v>196489.5</v>
      </c>
      <c r="N7" s="9">
        <v>4</v>
      </c>
      <c r="O7" s="1">
        <v>77859</v>
      </c>
      <c r="P7" s="9">
        <v>1</v>
      </c>
      <c r="Q7" s="1">
        <v>288518</v>
      </c>
      <c r="R7" s="9">
        <v>6</v>
      </c>
      <c r="S7" s="1">
        <v>127410</v>
      </c>
      <c r="T7" s="9">
        <v>4</v>
      </c>
      <c r="U7" s="1">
        <v>157820</v>
      </c>
      <c r="V7" s="9">
        <v>2</v>
      </c>
      <c r="W7" s="1">
        <v>120132</v>
      </c>
      <c r="X7" s="9">
        <v>1</v>
      </c>
      <c r="Y7" s="1">
        <v>236707.5</v>
      </c>
      <c r="Z7" s="9">
        <v>9</v>
      </c>
      <c r="AA7" s="1">
        <v>405468</v>
      </c>
      <c r="AB7" s="9">
        <v>7</v>
      </c>
      <c r="AC7" s="1">
        <v>1693126.5</v>
      </c>
      <c r="AD7" s="9">
        <v>24</v>
      </c>
      <c r="AE7" s="1">
        <v>268993.5</v>
      </c>
      <c r="AF7" s="9">
        <v>5</v>
      </c>
      <c r="AG7" s="1">
        <v>211648</v>
      </c>
      <c r="AH7" s="9">
        <v>5</v>
      </c>
      <c r="AI7" s="1"/>
      <c r="AJ7" s="9"/>
      <c r="AK7" s="1">
        <v>424012</v>
      </c>
      <c r="AL7" s="9">
        <v>13</v>
      </c>
      <c r="AM7" s="1">
        <v>64079</v>
      </c>
      <c r="AN7" s="9">
        <v>2</v>
      </c>
      <c r="AO7" s="1">
        <v>250392.5</v>
      </c>
      <c r="AP7" s="9">
        <v>6</v>
      </c>
      <c r="AQ7" s="1"/>
      <c r="AR7" s="9"/>
      <c r="AS7" s="1">
        <v>1477084</v>
      </c>
      <c r="AT7" s="9">
        <v>29</v>
      </c>
      <c r="AU7" s="1">
        <v>76174</v>
      </c>
      <c r="AV7" s="9">
        <v>2</v>
      </c>
      <c r="AW7" s="1">
        <v>201722</v>
      </c>
      <c r="AX7" s="9">
        <v>4</v>
      </c>
      <c r="AY7" s="2">
        <v>8199255.2999999998</v>
      </c>
      <c r="AZ7" s="9">
        <v>155</v>
      </c>
    </row>
    <row r="8" spans="1:52" ht="15">
      <c r="A8" t="s">
        <v>34</v>
      </c>
      <c r="B8" t="s">
        <v>28</v>
      </c>
      <c r="C8" s="1"/>
      <c r="D8" s="9"/>
      <c r="E8" s="1"/>
      <c r="F8" s="9"/>
      <c r="G8" s="1"/>
      <c r="H8" s="9"/>
      <c r="I8" s="1">
        <v>39666</v>
      </c>
      <c r="J8" s="9">
        <v>1</v>
      </c>
      <c r="K8" s="1">
        <v>285513</v>
      </c>
      <c r="L8" s="9">
        <v>4</v>
      </c>
      <c r="M8" s="1"/>
      <c r="N8" s="9"/>
      <c r="O8" s="1">
        <v>38791</v>
      </c>
      <c r="P8" s="9">
        <v>1</v>
      </c>
      <c r="Q8" s="1">
        <v>150000</v>
      </c>
      <c r="R8" s="9">
        <v>1</v>
      </c>
      <c r="S8" s="1">
        <v>38302</v>
      </c>
      <c r="T8" s="9">
        <v>1</v>
      </c>
      <c r="U8" s="1">
        <v>98000</v>
      </c>
      <c r="V8" s="9">
        <v>1</v>
      </c>
      <c r="W8" s="1"/>
      <c r="X8" s="9"/>
      <c r="Y8" s="1">
        <v>329750</v>
      </c>
      <c r="Z8" s="9">
        <v>5</v>
      </c>
      <c r="AA8" s="1"/>
      <c r="AB8" s="9"/>
      <c r="AC8" s="1">
        <v>977034</v>
      </c>
      <c r="AD8" s="9">
        <v>9</v>
      </c>
      <c r="AE8" s="1"/>
      <c r="AF8" s="9"/>
      <c r="AG8" s="1"/>
      <c r="AH8" s="9"/>
      <c r="AI8" s="1"/>
      <c r="AJ8" s="9"/>
      <c r="AK8" s="1">
        <v>216935</v>
      </c>
      <c r="AL8" s="9">
        <v>2</v>
      </c>
      <c r="AM8" s="1"/>
      <c r="AN8" s="9"/>
      <c r="AO8" s="1">
        <v>154706</v>
      </c>
      <c r="AP8" s="9">
        <v>1</v>
      </c>
      <c r="AQ8" s="1"/>
      <c r="AR8" s="9"/>
      <c r="AS8" s="1">
        <v>409153</v>
      </c>
      <c r="AT8" s="9">
        <v>4</v>
      </c>
      <c r="AU8" s="1">
        <v>121574</v>
      </c>
      <c r="AV8" s="9">
        <v>1</v>
      </c>
      <c r="AW8" s="1">
        <v>123735</v>
      </c>
      <c r="AX8" s="9">
        <v>1</v>
      </c>
      <c r="AY8" s="2">
        <v>2983159</v>
      </c>
      <c r="AZ8" s="9">
        <v>32</v>
      </c>
    </row>
    <row r="9" spans="1:52" ht="15">
      <c r="A9" t="s">
        <v>35</v>
      </c>
      <c r="B9" t="s">
        <v>28</v>
      </c>
      <c r="C9" s="1"/>
      <c r="D9" s="9"/>
      <c r="E9" s="1"/>
      <c r="F9" s="9"/>
      <c r="G9" s="1"/>
      <c r="H9" s="9"/>
      <c r="I9" s="1">
        <v>85195.119999999981</v>
      </c>
      <c r="J9" s="9">
        <v>36</v>
      </c>
      <c r="K9" s="1">
        <v>204020.99000000002</v>
      </c>
      <c r="L9" s="9">
        <v>112</v>
      </c>
      <c r="M9" s="1">
        <v>58614.659999999996</v>
      </c>
      <c r="N9" s="9">
        <v>23</v>
      </c>
      <c r="O9" s="1">
        <v>58743.78</v>
      </c>
      <c r="P9" s="9">
        <v>27</v>
      </c>
      <c r="Q9" s="1">
        <v>79993.310000000012</v>
      </c>
      <c r="R9" s="9">
        <v>40</v>
      </c>
      <c r="S9" s="1">
        <v>140210.73000000001</v>
      </c>
      <c r="T9" s="9">
        <v>63</v>
      </c>
      <c r="U9" s="1">
        <v>112757.37999999998</v>
      </c>
      <c r="V9" s="9">
        <v>33</v>
      </c>
      <c r="W9" s="1">
        <v>79685.739999999991</v>
      </c>
      <c r="X9" s="9">
        <v>41</v>
      </c>
      <c r="Y9" s="1">
        <v>21295.69</v>
      </c>
      <c r="Z9" s="9">
        <v>11</v>
      </c>
      <c r="AA9" s="1">
        <v>164715.61000000002</v>
      </c>
      <c r="AB9" s="9">
        <v>61</v>
      </c>
      <c r="AC9" s="1">
        <v>187831.84999999992</v>
      </c>
      <c r="AD9" s="9">
        <v>69</v>
      </c>
      <c r="AE9" s="1">
        <v>16897.419999999998</v>
      </c>
      <c r="AF9" s="9">
        <v>5</v>
      </c>
      <c r="AG9" s="1">
        <v>38465.380000000005</v>
      </c>
      <c r="AH9" s="9">
        <v>27</v>
      </c>
      <c r="AI9" s="1">
        <v>42774.6</v>
      </c>
      <c r="AJ9" s="9">
        <v>20</v>
      </c>
      <c r="AK9" s="1">
        <v>106595.43000000002</v>
      </c>
      <c r="AL9" s="9">
        <v>39</v>
      </c>
      <c r="AM9" s="1">
        <v>26597.22</v>
      </c>
      <c r="AN9" s="9">
        <v>12</v>
      </c>
      <c r="AO9" s="1">
        <v>53904.340000000011</v>
      </c>
      <c r="AP9" s="9">
        <v>26</v>
      </c>
      <c r="AQ9" s="1">
        <v>25236.280000000002</v>
      </c>
      <c r="AR9" s="9">
        <v>12</v>
      </c>
      <c r="AS9" s="1">
        <v>206985.17999999993</v>
      </c>
      <c r="AT9" s="9">
        <v>82</v>
      </c>
      <c r="AU9" s="1">
        <v>110558.76000000002</v>
      </c>
      <c r="AV9" s="9">
        <v>34</v>
      </c>
      <c r="AW9" s="1">
        <v>89220.9</v>
      </c>
      <c r="AX9" s="9">
        <v>45</v>
      </c>
      <c r="AY9" s="2">
        <v>1910300.3699999996</v>
      </c>
      <c r="AZ9" s="9">
        <v>818</v>
      </c>
    </row>
    <row r="10" spans="1:52" ht="15">
      <c r="A10" t="s">
        <v>36</v>
      </c>
      <c r="B10" t="s">
        <v>28</v>
      </c>
      <c r="C10" s="1"/>
      <c r="D10" s="9"/>
      <c r="E10" s="1"/>
      <c r="F10" s="9"/>
      <c r="G10" s="1"/>
      <c r="H10" s="9"/>
      <c r="I10" s="1"/>
      <c r="J10" s="9"/>
      <c r="K10" s="1">
        <v>518254</v>
      </c>
      <c r="L10" s="9">
        <v>7</v>
      </c>
      <c r="M10" s="1">
        <v>65000</v>
      </c>
      <c r="N10" s="9">
        <v>2</v>
      </c>
      <c r="O10" s="1">
        <v>70000</v>
      </c>
      <c r="P10" s="9">
        <v>1</v>
      </c>
      <c r="Q10" s="1">
        <v>400000</v>
      </c>
      <c r="R10" s="9">
        <v>2</v>
      </c>
      <c r="S10" s="1"/>
      <c r="T10" s="9"/>
      <c r="U10" s="1">
        <v>60000</v>
      </c>
      <c r="V10" s="9">
        <v>1</v>
      </c>
      <c r="W10" s="1">
        <v>454835</v>
      </c>
      <c r="X10" s="9">
        <v>1</v>
      </c>
      <c r="Y10" s="1">
        <v>454191</v>
      </c>
      <c r="Z10" s="9">
        <v>5</v>
      </c>
      <c r="AA10" s="1">
        <v>116337</v>
      </c>
      <c r="AB10" s="9">
        <v>2</v>
      </c>
      <c r="AC10" s="1">
        <v>1493725.01</v>
      </c>
      <c r="AD10" s="9">
        <v>13</v>
      </c>
      <c r="AE10" s="1"/>
      <c r="AF10" s="9"/>
      <c r="AG10" s="1"/>
      <c r="AH10" s="9"/>
      <c r="AI10" s="1"/>
      <c r="AJ10" s="9"/>
      <c r="AK10" s="1">
        <v>150000</v>
      </c>
      <c r="AL10" s="9">
        <v>1</v>
      </c>
      <c r="AM10" s="1"/>
      <c r="AN10" s="9"/>
      <c r="AO10" s="1">
        <v>20000</v>
      </c>
      <c r="AP10" s="9">
        <v>1</v>
      </c>
      <c r="AQ10" s="1">
        <v>128000</v>
      </c>
      <c r="AR10" s="9">
        <v>1</v>
      </c>
      <c r="AS10" s="1">
        <v>437000</v>
      </c>
      <c r="AT10" s="9">
        <v>5</v>
      </c>
      <c r="AU10" s="1"/>
      <c r="AV10" s="9"/>
      <c r="AW10" s="1">
        <v>843628</v>
      </c>
      <c r="AX10" s="9">
        <v>3</v>
      </c>
      <c r="AY10" s="2">
        <v>5210970.01</v>
      </c>
      <c r="AZ10" s="9">
        <v>45</v>
      </c>
    </row>
    <row r="11" spans="1:52" ht="15">
      <c r="A11" t="s">
        <v>37</v>
      </c>
      <c r="B11" t="s">
        <v>28</v>
      </c>
      <c r="C11" s="1"/>
      <c r="D11" s="9"/>
      <c r="E11" s="1"/>
      <c r="F11" s="9"/>
      <c r="G11" s="1"/>
      <c r="H11" s="9"/>
      <c r="I11" s="1"/>
      <c r="J11" s="9"/>
      <c r="K11" s="1"/>
      <c r="L11" s="9"/>
      <c r="M11" s="1"/>
      <c r="N11" s="9"/>
      <c r="O11" s="1"/>
      <c r="P11" s="9"/>
      <c r="Q11" s="1"/>
      <c r="R11" s="9"/>
      <c r="S11" s="1"/>
      <c r="T11" s="9"/>
      <c r="U11" s="1"/>
      <c r="V11" s="9"/>
      <c r="W11" s="1"/>
      <c r="X11" s="9"/>
      <c r="Y11" s="1"/>
      <c r="Z11" s="9"/>
      <c r="AA11" s="1"/>
      <c r="AB11" s="9"/>
      <c r="AC11" s="1">
        <v>2000</v>
      </c>
      <c r="AD11" s="9">
        <v>1</v>
      </c>
      <c r="AE11" s="1"/>
      <c r="AF11" s="9"/>
      <c r="AG11" s="1"/>
      <c r="AH11" s="9"/>
      <c r="AI11" s="1"/>
      <c r="AJ11" s="9"/>
      <c r="AK11" s="1"/>
      <c r="AL11" s="9"/>
      <c r="AM11" s="1"/>
      <c r="AN11" s="9"/>
      <c r="AO11" s="1"/>
      <c r="AP11" s="9"/>
      <c r="AQ11" s="1"/>
      <c r="AR11" s="9"/>
      <c r="AS11" s="1"/>
      <c r="AT11" s="9"/>
      <c r="AU11" s="1"/>
      <c r="AV11" s="9"/>
      <c r="AW11" s="1"/>
      <c r="AX11" s="9"/>
      <c r="AY11" s="2">
        <v>2000</v>
      </c>
      <c r="AZ11" s="9">
        <v>1</v>
      </c>
    </row>
    <row r="12" spans="1:52" ht="15">
      <c r="A12" t="s">
        <v>38</v>
      </c>
      <c r="B12" t="s">
        <v>28</v>
      </c>
      <c r="C12" s="1"/>
      <c r="D12" s="9"/>
      <c r="E12" s="1"/>
      <c r="F12" s="9"/>
      <c r="G12" s="1"/>
      <c r="H12" s="9"/>
      <c r="I12" s="1"/>
      <c r="J12" s="9"/>
      <c r="K12" s="1"/>
      <c r="L12" s="9"/>
      <c r="M12" s="1"/>
      <c r="N12" s="9"/>
      <c r="O12" s="1"/>
      <c r="P12" s="9"/>
      <c r="Q12" s="1"/>
      <c r="R12" s="9"/>
      <c r="S12" s="1"/>
      <c r="T12" s="9"/>
      <c r="U12" s="1"/>
      <c r="V12" s="9"/>
      <c r="W12" s="1"/>
      <c r="X12" s="9"/>
      <c r="Y12" s="1"/>
      <c r="Z12" s="9"/>
      <c r="AA12" s="1"/>
      <c r="AB12" s="9"/>
      <c r="AC12" s="1">
        <v>80000</v>
      </c>
      <c r="AD12" s="9">
        <v>1</v>
      </c>
      <c r="AE12" s="1"/>
      <c r="AF12" s="9"/>
      <c r="AG12" s="1"/>
      <c r="AH12" s="9"/>
      <c r="AI12" s="1"/>
      <c r="AJ12" s="9"/>
      <c r="AK12" s="1">
        <v>150000</v>
      </c>
      <c r="AL12" s="9">
        <v>1</v>
      </c>
      <c r="AM12" s="1"/>
      <c r="AN12" s="9"/>
      <c r="AO12" s="1"/>
      <c r="AP12" s="9"/>
      <c r="AQ12" s="1"/>
      <c r="AR12" s="9"/>
      <c r="AS12" s="1"/>
      <c r="AT12" s="9"/>
      <c r="AU12" s="1"/>
      <c r="AV12" s="9"/>
      <c r="AW12" s="1"/>
      <c r="AX12" s="9"/>
      <c r="AY12" s="2">
        <v>230000</v>
      </c>
      <c r="AZ12" s="9">
        <v>2</v>
      </c>
    </row>
    <row r="13" spans="1:52" ht="15">
      <c r="A13" t="s">
        <v>181</v>
      </c>
      <c r="B13" t="s">
        <v>30</v>
      </c>
      <c r="C13" s="1"/>
      <c r="D13" s="9"/>
      <c r="E13" s="1"/>
      <c r="F13" s="9"/>
      <c r="G13" s="1"/>
      <c r="H13" s="9"/>
      <c r="I13" s="1">
        <v>1987.48</v>
      </c>
      <c r="J13" s="9">
        <v>2</v>
      </c>
      <c r="K13" s="1">
        <v>7546.29</v>
      </c>
      <c r="L13" s="9">
        <v>8</v>
      </c>
      <c r="M13" s="1"/>
      <c r="N13" s="9"/>
      <c r="O13" s="1"/>
      <c r="P13" s="9"/>
      <c r="Q13" s="1"/>
      <c r="R13" s="9"/>
      <c r="S13" s="1"/>
      <c r="T13" s="9"/>
      <c r="U13" s="1"/>
      <c r="V13" s="9"/>
      <c r="W13" s="1">
        <v>4390</v>
      </c>
      <c r="X13" s="9">
        <v>5</v>
      </c>
      <c r="Y13" s="1"/>
      <c r="Z13" s="9"/>
      <c r="AA13" s="1"/>
      <c r="AB13" s="9"/>
      <c r="AC13" s="1">
        <v>10200</v>
      </c>
      <c r="AD13" s="9">
        <v>11</v>
      </c>
      <c r="AE13" s="1"/>
      <c r="AF13" s="9"/>
      <c r="AG13" s="1"/>
      <c r="AH13" s="9"/>
      <c r="AI13" s="1"/>
      <c r="AJ13" s="9"/>
      <c r="AK13" s="1"/>
      <c r="AL13" s="9"/>
      <c r="AM13" s="1"/>
      <c r="AN13" s="9"/>
      <c r="AO13" s="1"/>
      <c r="AP13" s="9"/>
      <c r="AQ13" s="1"/>
      <c r="AR13" s="9"/>
      <c r="AS13" s="1">
        <v>10821.91</v>
      </c>
      <c r="AT13" s="9">
        <v>12</v>
      </c>
      <c r="AU13" s="1">
        <v>880</v>
      </c>
      <c r="AV13" s="9">
        <v>1</v>
      </c>
      <c r="AW13" s="1">
        <v>3838</v>
      </c>
      <c r="AX13" s="9">
        <v>5</v>
      </c>
      <c r="AY13" s="2">
        <v>39663.68</v>
      </c>
      <c r="AZ13" s="9">
        <v>44</v>
      </c>
    </row>
    <row r="14" spans="1:52" ht="15">
      <c r="A14" t="s">
        <v>39</v>
      </c>
      <c r="B14" t="s">
        <v>30</v>
      </c>
      <c r="C14" s="1">
        <v>537532.41999999993</v>
      </c>
      <c r="D14" s="9">
        <v>61</v>
      </c>
      <c r="E14" s="1"/>
      <c r="F14" s="9"/>
      <c r="G14" s="1"/>
      <c r="H14" s="9"/>
      <c r="I14" s="1"/>
      <c r="J14" s="9"/>
      <c r="K14" s="1">
        <v>1454258.54</v>
      </c>
      <c r="L14" s="9">
        <v>139</v>
      </c>
      <c r="M14" s="1">
        <v>6500</v>
      </c>
      <c r="N14" s="9">
        <v>1</v>
      </c>
      <c r="O14" s="1"/>
      <c r="P14" s="9"/>
      <c r="Q14" s="1"/>
      <c r="R14" s="9"/>
      <c r="S14" s="1"/>
      <c r="T14" s="9"/>
      <c r="U14" s="1"/>
      <c r="V14" s="9"/>
      <c r="W14" s="1">
        <v>720</v>
      </c>
      <c r="X14" s="9">
        <v>1</v>
      </c>
      <c r="Y14" s="1">
        <v>4975</v>
      </c>
      <c r="Z14" s="9">
        <v>1</v>
      </c>
      <c r="AA14" s="1">
        <v>138573</v>
      </c>
      <c r="AB14" s="9">
        <v>8</v>
      </c>
      <c r="AC14" s="1">
        <v>8942568.3399999831</v>
      </c>
      <c r="AD14" s="9">
        <v>1239</v>
      </c>
      <c r="AE14" s="1"/>
      <c r="AF14" s="9"/>
      <c r="AG14" s="1"/>
      <c r="AH14" s="9"/>
      <c r="AI14" s="1"/>
      <c r="AJ14" s="9"/>
      <c r="AK14" s="1"/>
      <c r="AL14" s="9"/>
      <c r="AM14" s="1"/>
      <c r="AN14" s="9"/>
      <c r="AO14" s="1"/>
      <c r="AP14" s="9"/>
      <c r="AQ14" s="1">
        <v>3977</v>
      </c>
      <c r="AR14" s="9">
        <v>1</v>
      </c>
      <c r="AS14" s="1">
        <v>44304</v>
      </c>
      <c r="AT14" s="9">
        <v>1</v>
      </c>
      <c r="AU14" s="1">
        <v>177903.72</v>
      </c>
      <c r="AV14" s="9">
        <v>27</v>
      </c>
      <c r="AW14" s="1"/>
      <c r="AX14" s="9"/>
      <c r="AY14" s="2">
        <v>11311312.019999983</v>
      </c>
      <c r="AZ14" s="9">
        <v>1479</v>
      </c>
    </row>
    <row r="15" spans="1:52" ht="15">
      <c r="A15" t="s">
        <v>40</v>
      </c>
      <c r="B15" t="s">
        <v>28</v>
      </c>
      <c r="C15" s="1"/>
      <c r="D15" s="9"/>
      <c r="E15" s="1"/>
      <c r="F15" s="9"/>
      <c r="G15" s="1"/>
      <c r="H15" s="9"/>
      <c r="I15" s="1">
        <v>26161</v>
      </c>
      <c r="J15" s="9">
        <v>2</v>
      </c>
      <c r="K15" s="1">
        <v>509220</v>
      </c>
      <c r="L15" s="9">
        <v>16</v>
      </c>
      <c r="M15" s="1">
        <v>204133</v>
      </c>
      <c r="N15" s="9">
        <v>6</v>
      </c>
      <c r="O15" s="1"/>
      <c r="P15" s="9"/>
      <c r="Q15" s="1">
        <v>14868</v>
      </c>
      <c r="R15" s="9">
        <v>1</v>
      </c>
      <c r="S15" s="1">
        <v>15000</v>
      </c>
      <c r="T15" s="9">
        <v>1</v>
      </c>
      <c r="U15" s="1">
        <v>73340</v>
      </c>
      <c r="V15" s="9">
        <v>1</v>
      </c>
      <c r="W15" s="1">
        <v>60000</v>
      </c>
      <c r="X15" s="9">
        <v>1</v>
      </c>
      <c r="Y15" s="1">
        <v>275936</v>
      </c>
      <c r="Z15" s="9">
        <v>5</v>
      </c>
      <c r="AA15" s="1">
        <v>228492</v>
      </c>
      <c r="AB15" s="9">
        <v>5</v>
      </c>
      <c r="AC15" s="1">
        <v>1281290</v>
      </c>
      <c r="AD15" s="9">
        <v>25</v>
      </c>
      <c r="AE15" s="1">
        <v>250222</v>
      </c>
      <c r="AF15" s="9">
        <v>5</v>
      </c>
      <c r="AG15" s="1">
        <v>100000</v>
      </c>
      <c r="AH15" s="9">
        <v>2</v>
      </c>
      <c r="AI15" s="1">
        <v>9023</v>
      </c>
      <c r="AJ15" s="9">
        <v>1</v>
      </c>
      <c r="AK15" s="1"/>
      <c r="AL15" s="9"/>
      <c r="AM15" s="1">
        <v>73297</v>
      </c>
      <c r="AN15" s="9">
        <v>1</v>
      </c>
      <c r="AO15" s="1">
        <v>68950</v>
      </c>
      <c r="AP15" s="9">
        <v>2</v>
      </c>
      <c r="AQ15" s="1"/>
      <c r="AR15" s="9"/>
      <c r="AS15" s="1">
        <v>697337</v>
      </c>
      <c r="AT15" s="9">
        <v>16</v>
      </c>
      <c r="AU15" s="1">
        <v>124000</v>
      </c>
      <c r="AV15" s="9">
        <v>2</v>
      </c>
      <c r="AW15" s="1">
        <v>332269</v>
      </c>
      <c r="AX15" s="9">
        <v>5</v>
      </c>
      <c r="AY15" s="2">
        <v>4343538</v>
      </c>
      <c r="AZ15" s="9">
        <v>97</v>
      </c>
    </row>
    <row r="16" spans="1:52" ht="15">
      <c r="A16" t="s">
        <v>41</v>
      </c>
      <c r="B16" t="s">
        <v>28</v>
      </c>
      <c r="C16" s="1"/>
      <c r="D16" s="9"/>
      <c r="E16" s="1"/>
      <c r="F16" s="9"/>
      <c r="G16" s="1"/>
      <c r="H16" s="9"/>
      <c r="I16" s="1">
        <v>4074</v>
      </c>
      <c r="J16" s="9">
        <v>2</v>
      </c>
      <c r="K16" s="1">
        <v>5000</v>
      </c>
      <c r="L16" s="9">
        <v>1</v>
      </c>
      <c r="M16" s="1">
        <v>10218</v>
      </c>
      <c r="N16" s="9">
        <v>3</v>
      </c>
      <c r="O16" s="1"/>
      <c r="P16" s="9"/>
      <c r="Q16" s="1">
        <v>5000</v>
      </c>
      <c r="R16" s="9">
        <v>1</v>
      </c>
      <c r="S16" s="1">
        <v>5000</v>
      </c>
      <c r="T16" s="9">
        <v>1</v>
      </c>
      <c r="U16" s="1">
        <v>500</v>
      </c>
      <c r="V16" s="9">
        <v>1</v>
      </c>
      <c r="W16" s="1">
        <v>2431</v>
      </c>
      <c r="X16" s="9">
        <v>1</v>
      </c>
      <c r="Y16" s="1">
        <v>5506</v>
      </c>
      <c r="Z16" s="9">
        <v>2</v>
      </c>
      <c r="AA16" s="1">
        <v>3290</v>
      </c>
      <c r="AB16" s="9">
        <v>1</v>
      </c>
      <c r="AC16" s="1">
        <v>9509</v>
      </c>
      <c r="AD16" s="9">
        <v>2</v>
      </c>
      <c r="AE16" s="1">
        <v>4132</v>
      </c>
      <c r="AF16" s="9">
        <v>2</v>
      </c>
      <c r="AG16" s="1">
        <v>1931</v>
      </c>
      <c r="AH16" s="9">
        <v>1</v>
      </c>
      <c r="AI16" s="1"/>
      <c r="AJ16" s="9"/>
      <c r="AK16" s="1">
        <v>6290</v>
      </c>
      <c r="AL16" s="9">
        <v>2</v>
      </c>
      <c r="AM16" s="1">
        <v>2500</v>
      </c>
      <c r="AN16" s="9">
        <v>1</v>
      </c>
      <c r="AO16" s="1">
        <v>3576</v>
      </c>
      <c r="AP16" s="9">
        <v>1</v>
      </c>
      <c r="AQ16" s="1"/>
      <c r="AR16" s="9"/>
      <c r="AS16" s="1">
        <v>3863</v>
      </c>
      <c r="AT16" s="9">
        <v>1</v>
      </c>
      <c r="AU16" s="1">
        <v>10151</v>
      </c>
      <c r="AV16" s="9">
        <v>3</v>
      </c>
      <c r="AW16" s="1">
        <v>7863</v>
      </c>
      <c r="AX16" s="9">
        <v>2</v>
      </c>
      <c r="AY16" s="2">
        <v>90834</v>
      </c>
      <c r="AZ16" s="9">
        <v>28</v>
      </c>
    </row>
    <row r="17" spans="1:52" ht="15">
      <c r="A17" t="s">
        <v>42</v>
      </c>
      <c r="B17" t="s">
        <v>30</v>
      </c>
      <c r="C17" s="1"/>
      <c r="D17" s="9"/>
      <c r="E17" s="1"/>
      <c r="F17" s="9"/>
      <c r="G17" s="1"/>
      <c r="H17" s="9"/>
      <c r="I17" s="1"/>
      <c r="J17" s="9"/>
      <c r="K17" s="1">
        <v>27350</v>
      </c>
      <c r="L17" s="9">
        <v>9</v>
      </c>
      <c r="M17" s="1">
        <v>1300</v>
      </c>
      <c r="N17" s="9">
        <v>3</v>
      </c>
      <c r="O17" s="1">
        <v>1640</v>
      </c>
      <c r="P17" s="9">
        <v>3</v>
      </c>
      <c r="Q17" s="1">
        <v>1000</v>
      </c>
      <c r="R17" s="9">
        <v>1</v>
      </c>
      <c r="S17" s="1"/>
      <c r="T17" s="9"/>
      <c r="U17" s="1"/>
      <c r="V17" s="9"/>
      <c r="W17" s="1">
        <v>25</v>
      </c>
      <c r="X17" s="9">
        <v>1</v>
      </c>
      <c r="Y17" s="1"/>
      <c r="Z17" s="9"/>
      <c r="AA17" s="1"/>
      <c r="AB17" s="9"/>
      <c r="AC17" s="1">
        <v>24375</v>
      </c>
      <c r="AD17" s="9">
        <v>8</v>
      </c>
      <c r="AE17" s="1"/>
      <c r="AF17" s="9"/>
      <c r="AG17" s="1"/>
      <c r="AH17" s="9"/>
      <c r="AI17" s="1">
        <v>3250</v>
      </c>
      <c r="AJ17" s="9">
        <v>5</v>
      </c>
      <c r="AK17" s="1"/>
      <c r="AL17" s="9"/>
      <c r="AM17" s="1"/>
      <c r="AN17" s="9"/>
      <c r="AO17" s="1"/>
      <c r="AP17" s="9"/>
      <c r="AQ17" s="1"/>
      <c r="AR17" s="9"/>
      <c r="AS17" s="1"/>
      <c r="AT17" s="9"/>
      <c r="AU17" s="1">
        <v>1000</v>
      </c>
      <c r="AV17" s="9">
        <v>1</v>
      </c>
      <c r="AW17" s="1"/>
      <c r="AX17" s="9"/>
      <c r="AY17" s="2">
        <v>59940</v>
      </c>
      <c r="AZ17" s="9">
        <v>31</v>
      </c>
    </row>
    <row r="18" spans="1:52" ht="15">
      <c r="A18" t="s">
        <v>43</v>
      </c>
      <c r="B18" t="s">
        <v>30</v>
      </c>
      <c r="C18" s="1"/>
      <c r="D18" s="9"/>
      <c r="E18" s="1"/>
      <c r="F18" s="9"/>
      <c r="G18" s="1"/>
      <c r="H18" s="9"/>
      <c r="I18" s="1">
        <v>600</v>
      </c>
      <c r="J18" s="9">
        <v>1</v>
      </c>
      <c r="K18" s="1"/>
      <c r="L18" s="9"/>
      <c r="M18" s="1"/>
      <c r="N18" s="9"/>
      <c r="O18" s="1"/>
      <c r="P18" s="9"/>
      <c r="Q18" s="1"/>
      <c r="R18" s="9"/>
      <c r="S18" s="1">
        <v>2600</v>
      </c>
      <c r="T18" s="9">
        <v>1</v>
      </c>
      <c r="U18" s="1"/>
      <c r="V18" s="9"/>
      <c r="W18" s="1"/>
      <c r="X18" s="9"/>
      <c r="Y18" s="1"/>
      <c r="Z18" s="9"/>
      <c r="AA18" s="1"/>
      <c r="AB18" s="9"/>
      <c r="AC18" s="1">
        <v>1200</v>
      </c>
      <c r="AD18" s="9">
        <v>2</v>
      </c>
      <c r="AE18" s="1"/>
      <c r="AF18" s="9"/>
      <c r="AG18" s="1"/>
      <c r="AH18" s="9"/>
      <c r="AI18" s="1"/>
      <c r="AJ18" s="9"/>
      <c r="AK18" s="1"/>
      <c r="AL18" s="9"/>
      <c r="AM18" s="1">
        <v>600</v>
      </c>
      <c r="AN18" s="9">
        <v>1</v>
      </c>
      <c r="AO18" s="1"/>
      <c r="AP18" s="9"/>
      <c r="AQ18" s="1"/>
      <c r="AR18" s="9"/>
      <c r="AS18" s="1">
        <v>600</v>
      </c>
      <c r="AT18" s="9">
        <v>1</v>
      </c>
      <c r="AU18" s="1"/>
      <c r="AV18" s="9"/>
      <c r="AW18" s="1"/>
      <c r="AX18" s="9"/>
      <c r="AY18" s="2">
        <v>5600</v>
      </c>
      <c r="AZ18" s="9">
        <v>6</v>
      </c>
    </row>
    <row r="19" spans="1:52" ht="15">
      <c r="A19" t="s">
        <v>44</v>
      </c>
      <c r="B19" t="s">
        <v>28</v>
      </c>
      <c r="C19" s="1"/>
      <c r="D19" s="9"/>
      <c r="E19" s="1"/>
      <c r="F19" s="9"/>
      <c r="G19" s="1"/>
      <c r="H19" s="9"/>
      <c r="I19" s="1">
        <v>882</v>
      </c>
      <c r="J19" s="9">
        <v>1</v>
      </c>
      <c r="K19" s="1">
        <v>46000</v>
      </c>
      <c r="L19" s="9">
        <v>3</v>
      </c>
      <c r="M19" s="1">
        <v>1816</v>
      </c>
      <c r="N19" s="9">
        <v>1</v>
      </c>
      <c r="O19" s="1">
        <v>10000</v>
      </c>
      <c r="P19" s="9">
        <v>1</v>
      </c>
      <c r="Q19" s="1">
        <v>10000</v>
      </c>
      <c r="R19" s="9">
        <v>1</v>
      </c>
      <c r="S19" s="1">
        <v>14000</v>
      </c>
      <c r="T19" s="9">
        <v>1</v>
      </c>
      <c r="U19" s="1"/>
      <c r="V19" s="9"/>
      <c r="W19" s="1"/>
      <c r="X19" s="9"/>
      <c r="Y19" s="1">
        <v>22000</v>
      </c>
      <c r="Z19" s="9">
        <v>2</v>
      </c>
      <c r="AA19" s="1">
        <v>10000</v>
      </c>
      <c r="AB19" s="9">
        <v>1</v>
      </c>
      <c r="AC19" s="1">
        <v>1358</v>
      </c>
      <c r="AD19" s="9">
        <v>1</v>
      </c>
      <c r="AE19" s="1"/>
      <c r="AF19" s="9"/>
      <c r="AG19" s="1">
        <v>10500</v>
      </c>
      <c r="AH19" s="9">
        <v>2</v>
      </c>
      <c r="AI19" s="1">
        <v>2500</v>
      </c>
      <c r="AJ19" s="9">
        <v>1</v>
      </c>
      <c r="AK19" s="1"/>
      <c r="AL19" s="9"/>
      <c r="AM19" s="1">
        <v>25000</v>
      </c>
      <c r="AN19" s="9">
        <v>2</v>
      </c>
      <c r="AO19" s="1"/>
      <c r="AP19" s="9"/>
      <c r="AQ19" s="1">
        <v>22792</v>
      </c>
      <c r="AR19" s="9">
        <v>2</v>
      </c>
      <c r="AS19" s="1">
        <v>17000</v>
      </c>
      <c r="AT19" s="9">
        <v>5</v>
      </c>
      <c r="AU19" s="1">
        <v>2963</v>
      </c>
      <c r="AV19" s="9">
        <v>2</v>
      </c>
      <c r="AW19" s="1">
        <v>411</v>
      </c>
      <c r="AX19" s="9">
        <v>1</v>
      </c>
      <c r="AY19" s="2">
        <v>197222</v>
      </c>
      <c r="AZ19" s="9">
        <v>27</v>
      </c>
    </row>
    <row r="20" spans="1:52" ht="15">
      <c r="A20" t="s">
        <v>45</v>
      </c>
      <c r="B20" t="s">
        <v>173</v>
      </c>
      <c r="C20" s="1"/>
      <c r="D20" s="9"/>
      <c r="E20" s="1"/>
      <c r="F20" s="9"/>
      <c r="G20" s="1"/>
      <c r="H20" s="9"/>
      <c r="I20" s="1">
        <v>3861313.48</v>
      </c>
      <c r="J20" s="9">
        <v>97</v>
      </c>
      <c r="K20" s="1">
        <v>15911588.540000005</v>
      </c>
      <c r="L20" s="9">
        <v>339</v>
      </c>
      <c r="M20" s="1">
        <v>3952861.5100000002</v>
      </c>
      <c r="N20" s="9">
        <v>101</v>
      </c>
      <c r="O20" s="1">
        <v>902371.94000000006</v>
      </c>
      <c r="P20" s="9">
        <v>31</v>
      </c>
      <c r="Q20" s="1">
        <v>7181380.8500000006</v>
      </c>
      <c r="R20" s="9">
        <v>157</v>
      </c>
      <c r="S20" s="1">
        <v>5000268.5999999996</v>
      </c>
      <c r="T20" s="9">
        <v>101</v>
      </c>
      <c r="U20" s="1">
        <v>1121660.08</v>
      </c>
      <c r="V20" s="9">
        <v>67</v>
      </c>
      <c r="W20" s="1">
        <v>8161205.1100000003</v>
      </c>
      <c r="X20" s="9">
        <v>43</v>
      </c>
      <c r="Y20" s="1">
        <v>11343277.909999998</v>
      </c>
      <c r="Z20" s="9">
        <v>206</v>
      </c>
      <c r="AA20" s="1">
        <v>9964754.6300000008</v>
      </c>
      <c r="AB20" s="9">
        <v>197</v>
      </c>
      <c r="AC20" s="1">
        <v>22724866.219999995</v>
      </c>
      <c r="AD20" s="9">
        <v>326</v>
      </c>
      <c r="AE20" s="1">
        <v>5232501.7</v>
      </c>
      <c r="AF20" s="9">
        <v>115</v>
      </c>
      <c r="AG20" s="1">
        <v>1914216.0899999999</v>
      </c>
      <c r="AH20" s="9">
        <v>43</v>
      </c>
      <c r="AI20" s="1">
        <v>806197.69</v>
      </c>
      <c r="AJ20" s="9">
        <v>22</v>
      </c>
      <c r="AK20" s="1">
        <v>6370864.290000001</v>
      </c>
      <c r="AL20" s="9">
        <v>152</v>
      </c>
      <c r="AM20" s="1">
        <v>1020214.7</v>
      </c>
      <c r="AN20" s="9">
        <v>23</v>
      </c>
      <c r="AO20" s="1">
        <v>3057377.9599999995</v>
      </c>
      <c r="AP20" s="9">
        <v>49</v>
      </c>
      <c r="AQ20" s="1">
        <v>1139589</v>
      </c>
      <c r="AR20" s="9">
        <v>31</v>
      </c>
      <c r="AS20" s="1">
        <v>19931441.27999999</v>
      </c>
      <c r="AT20" s="9">
        <v>349</v>
      </c>
      <c r="AU20" s="1">
        <v>4122473.3800000004</v>
      </c>
      <c r="AV20" s="9">
        <v>106</v>
      </c>
      <c r="AW20" s="1">
        <v>3413472.4599999995</v>
      </c>
      <c r="AX20" s="9">
        <v>73</v>
      </c>
      <c r="AY20" s="2">
        <v>137133897.41999999</v>
      </c>
      <c r="AZ20" s="9">
        <v>2628</v>
      </c>
    </row>
    <row r="21" spans="1:52" ht="15">
      <c r="A21" t="s">
        <v>46</v>
      </c>
      <c r="B21" t="s">
        <v>173</v>
      </c>
      <c r="C21" s="1"/>
      <c r="D21" s="9"/>
      <c r="E21" s="1"/>
      <c r="F21" s="9"/>
      <c r="G21" s="1"/>
      <c r="H21" s="9"/>
      <c r="I21" s="1">
        <v>1324500</v>
      </c>
      <c r="J21" s="9">
        <v>7</v>
      </c>
      <c r="K21" s="1">
        <v>2351200</v>
      </c>
      <c r="L21" s="9">
        <v>22</v>
      </c>
      <c r="M21" s="1">
        <v>1236800</v>
      </c>
      <c r="N21" s="9">
        <v>10</v>
      </c>
      <c r="O21" s="1">
        <v>465200</v>
      </c>
      <c r="P21" s="9">
        <v>8</v>
      </c>
      <c r="Q21" s="1">
        <v>461600</v>
      </c>
      <c r="R21" s="9">
        <v>13</v>
      </c>
      <c r="S21" s="1">
        <v>2224100</v>
      </c>
      <c r="T21" s="9">
        <v>19</v>
      </c>
      <c r="U21" s="1">
        <v>1560800</v>
      </c>
      <c r="V21" s="9">
        <v>12</v>
      </c>
      <c r="W21" s="1">
        <v>1388900</v>
      </c>
      <c r="X21" s="9">
        <v>10</v>
      </c>
      <c r="Y21" s="1">
        <v>3828200</v>
      </c>
      <c r="Z21" s="9">
        <v>12</v>
      </c>
      <c r="AA21" s="1">
        <v>1944500</v>
      </c>
      <c r="AB21" s="9">
        <v>25</v>
      </c>
      <c r="AC21" s="1">
        <v>5397000</v>
      </c>
      <c r="AD21" s="9">
        <v>26</v>
      </c>
      <c r="AE21" s="1">
        <v>418600</v>
      </c>
      <c r="AF21" s="9">
        <v>13</v>
      </c>
      <c r="AG21" s="1">
        <v>1003400</v>
      </c>
      <c r="AH21" s="9">
        <v>5</v>
      </c>
      <c r="AI21" s="1">
        <v>2297600</v>
      </c>
      <c r="AJ21" s="9">
        <v>8</v>
      </c>
      <c r="AK21" s="1">
        <v>1808200</v>
      </c>
      <c r="AL21" s="9">
        <v>7</v>
      </c>
      <c r="AM21" s="1">
        <v>6048400</v>
      </c>
      <c r="AN21" s="9">
        <v>10</v>
      </c>
      <c r="AO21" s="1">
        <v>1278100</v>
      </c>
      <c r="AP21" s="9">
        <v>9</v>
      </c>
      <c r="AQ21" s="1">
        <v>1161200</v>
      </c>
      <c r="AR21" s="9">
        <v>8</v>
      </c>
      <c r="AS21" s="1">
        <v>5660400</v>
      </c>
      <c r="AT21" s="9">
        <v>33</v>
      </c>
      <c r="AU21" s="1">
        <v>1242400</v>
      </c>
      <c r="AV21" s="9">
        <v>16</v>
      </c>
      <c r="AW21" s="1">
        <v>2487400</v>
      </c>
      <c r="AX21" s="9">
        <v>16</v>
      </c>
      <c r="AY21" s="2">
        <v>45588500</v>
      </c>
      <c r="AZ21" s="9">
        <v>289</v>
      </c>
    </row>
    <row r="22" spans="1:52" ht="15">
      <c r="A22" t="s">
        <v>47</v>
      </c>
      <c r="B22" t="s">
        <v>28</v>
      </c>
      <c r="C22" s="1"/>
      <c r="D22" s="9"/>
      <c r="E22" s="1"/>
      <c r="F22" s="9"/>
      <c r="G22" s="1"/>
      <c r="H22" s="9"/>
      <c r="I22" s="1"/>
      <c r="J22" s="9"/>
      <c r="K22" s="1"/>
      <c r="L22" s="9"/>
      <c r="M22" s="1"/>
      <c r="N22" s="9"/>
      <c r="O22" s="1"/>
      <c r="P22" s="9"/>
      <c r="Q22" s="1"/>
      <c r="R22" s="9"/>
      <c r="S22" s="1"/>
      <c r="T22" s="9"/>
      <c r="U22" s="1"/>
      <c r="V22" s="9"/>
      <c r="W22" s="1"/>
      <c r="X22" s="9"/>
      <c r="Y22" s="1">
        <v>124560</v>
      </c>
      <c r="Z22" s="9">
        <v>1</v>
      </c>
      <c r="AA22" s="1"/>
      <c r="AB22" s="9"/>
      <c r="AC22" s="1">
        <v>265000</v>
      </c>
      <c r="AD22" s="9">
        <v>2</v>
      </c>
      <c r="AE22" s="1">
        <v>130000</v>
      </c>
      <c r="AF22" s="9">
        <v>1</v>
      </c>
      <c r="AG22" s="1"/>
      <c r="AH22" s="9"/>
      <c r="AI22" s="1"/>
      <c r="AJ22" s="9"/>
      <c r="AK22" s="1"/>
      <c r="AL22" s="9"/>
      <c r="AM22" s="1"/>
      <c r="AN22" s="9"/>
      <c r="AO22" s="1"/>
      <c r="AP22" s="9"/>
      <c r="AQ22" s="1"/>
      <c r="AR22" s="9"/>
      <c r="AS22" s="1"/>
      <c r="AT22" s="9"/>
      <c r="AU22" s="1"/>
      <c r="AV22" s="9"/>
      <c r="AW22" s="1">
        <v>33972</v>
      </c>
      <c r="AX22" s="9">
        <v>1</v>
      </c>
      <c r="AY22" s="2">
        <v>553532</v>
      </c>
      <c r="AZ22" s="9">
        <v>5</v>
      </c>
    </row>
    <row r="23" spans="1:52" ht="15">
      <c r="A23" t="s">
        <v>48</v>
      </c>
      <c r="B23" t="s">
        <v>28</v>
      </c>
      <c r="C23" s="1"/>
      <c r="D23" s="9"/>
      <c r="E23" s="1"/>
      <c r="F23" s="9"/>
      <c r="G23" s="1"/>
      <c r="H23" s="9"/>
      <c r="I23" s="1"/>
      <c r="J23" s="9"/>
      <c r="K23" s="1">
        <v>370087</v>
      </c>
      <c r="L23" s="9">
        <v>3</v>
      </c>
      <c r="M23" s="1">
        <v>30000</v>
      </c>
      <c r="N23" s="9">
        <v>1</v>
      </c>
      <c r="O23" s="1"/>
      <c r="P23" s="9"/>
      <c r="Q23" s="1">
        <v>15000</v>
      </c>
      <c r="R23" s="9">
        <v>1</v>
      </c>
      <c r="S23" s="1"/>
      <c r="T23" s="9"/>
      <c r="U23" s="1"/>
      <c r="V23" s="9"/>
      <c r="W23" s="1"/>
      <c r="X23" s="9"/>
      <c r="Y23" s="1"/>
      <c r="Z23" s="9"/>
      <c r="AA23" s="1"/>
      <c r="AB23" s="9"/>
      <c r="AC23" s="1">
        <v>11500</v>
      </c>
      <c r="AD23" s="9">
        <v>2</v>
      </c>
      <c r="AE23" s="1"/>
      <c r="AF23" s="9"/>
      <c r="AG23" s="1"/>
      <c r="AH23" s="9"/>
      <c r="AI23" s="1">
        <v>6500</v>
      </c>
      <c r="AJ23" s="9">
        <v>1</v>
      </c>
      <c r="AK23" s="1"/>
      <c r="AL23" s="9"/>
      <c r="AM23" s="1"/>
      <c r="AN23" s="9"/>
      <c r="AO23" s="1"/>
      <c r="AP23" s="9"/>
      <c r="AQ23" s="1"/>
      <c r="AR23" s="9"/>
      <c r="AS23" s="1">
        <v>50000</v>
      </c>
      <c r="AT23" s="9">
        <v>1</v>
      </c>
      <c r="AU23" s="1">
        <v>22000</v>
      </c>
      <c r="AV23" s="9">
        <v>1</v>
      </c>
      <c r="AW23" s="1"/>
      <c r="AX23" s="9"/>
      <c r="AY23" s="2">
        <v>505087</v>
      </c>
      <c r="AZ23" s="9">
        <v>10</v>
      </c>
    </row>
    <row r="24" spans="1:52" ht="15">
      <c r="A24" t="s">
        <v>49</v>
      </c>
      <c r="B24" t="s">
        <v>28</v>
      </c>
      <c r="C24" s="1"/>
      <c r="D24" s="9"/>
      <c r="E24" s="1"/>
      <c r="F24" s="9"/>
      <c r="G24" s="1"/>
      <c r="H24" s="9"/>
      <c r="I24" s="1"/>
      <c r="J24" s="9"/>
      <c r="K24" s="1">
        <v>60281</v>
      </c>
      <c r="L24" s="9">
        <v>2</v>
      </c>
      <c r="M24" s="1"/>
      <c r="N24" s="9"/>
      <c r="O24" s="1"/>
      <c r="P24" s="9"/>
      <c r="Q24" s="1">
        <v>75500</v>
      </c>
      <c r="R24" s="9">
        <v>2</v>
      </c>
      <c r="S24" s="1"/>
      <c r="T24" s="9"/>
      <c r="U24" s="1"/>
      <c r="V24" s="9"/>
      <c r="W24" s="1"/>
      <c r="X24" s="9"/>
      <c r="Y24" s="1">
        <v>470000</v>
      </c>
      <c r="Z24" s="9">
        <v>3</v>
      </c>
      <c r="AA24" s="1"/>
      <c r="AB24" s="9"/>
      <c r="AC24" s="1">
        <v>267416</v>
      </c>
      <c r="AD24" s="9">
        <v>4</v>
      </c>
      <c r="AE24" s="1"/>
      <c r="AF24" s="9"/>
      <c r="AG24" s="1"/>
      <c r="AH24" s="9"/>
      <c r="AI24" s="1"/>
      <c r="AJ24" s="9"/>
      <c r="AK24" s="1">
        <v>59300</v>
      </c>
      <c r="AL24" s="9">
        <v>1</v>
      </c>
      <c r="AM24" s="1"/>
      <c r="AN24" s="9"/>
      <c r="AO24" s="1"/>
      <c r="AP24" s="9"/>
      <c r="AQ24" s="1"/>
      <c r="AR24" s="9"/>
      <c r="AS24" s="1">
        <v>444668</v>
      </c>
      <c r="AT24" s="9">
        <v>4</v>
      </c>
      <c r="AU24" s="1"/>
      <c r="AV24" s="9"/>
      <c r="AW24" s="1"/>
      <c r="AX24" s="9"/>
      <c r="AY24" s="2">
        <v>1377165</v>
      </c>
      <c r="AZ24" s="9">
        <v>16</v>
      </c>
    </row>
    <row r="25" spans="1:52" ht="15">
      <c r="A25" t="s">
        <v>50</v>
      </c>
      <c r="B25" t="s">
        <v>28</v>
      </c>
      <c r="C25" s="1"/>
      <c r="D25" s="9"/>
      <c r="E25" s="1"/>
      <c r="F25" s="9"/>
      <c r="G25" s="1"/>
      <c r="H25" s="9"/>
      <c r="I25" s="1"/>
      <c r="J25" s="9"/>
      <c r="K25" s="1">
        <v>388725</v>
      </c>
      <c r="L25" s="9">
        <v>2</v>
      </c>
      <c r="M25" s="1"/>
      <c r="N25" s="9"/>
      <c r="O25" s="1"/>
      <c r="P25" s="9"/>
      <c r="Q25" s="1"/>
      <c r="R25" s="9"/>
      <c r="S25" s="1"/>
      <c r="T25" s="9"/>
      <c r="U25" s="1"/>
      <c r="V25" s="9"/>
      <c r="W25" s="1"/>
      <c r="X25" s="9"/>
      <c r="Y25" s="1"/>
      <c r="Z25" s="9"/>
      <c r="AA25" s="1"/>
      <c r="AB25" s="9"/>
      <c r="AC25" s="1">
        <v>230000</v>
      </c>
      <c r="AD25" s="9">
        <v>2</v>
      </c>
      <c r="AE25" s="1"/>
      <c r="AF25" s="9"/>
      <c r="AG25" s="1"/>
      <c r="AH25" s="9"/>
      <c r="AI25" s="1"/>
      <c r="AJ25" s="9"/>
      <c r="AK25" s="1"/>
      <c r="AL25" s="9"/>
      <c r="AM25" s="1"/>
      <c r="AN25" s="9"/>
      <c r="AO25" s="1"/>
      <c r="AP25" s="9"/>
      <c r="AQ25" s="1"/>
      <c r="AR25" s="9"/>
      <c r="AS25" s="1"/>
      <c r="AT25" s="9"/>
      <c r="AU25" s="1"/>
      <c r="AV25" s="9"/>
      <c r="AW25" s="1"/>
      <c r="AX25" s="9"/>
      <c r="AY25" s="2">
        <v>618725</v>
      </c>
      <c r="AZ25" s="9">
        <v>4</v>
      </c>
    </row>
    <row r="26" spans="1:52" ht="15">
      <c r="A26" t="s">
        <v>51</v>
      </c>
      <c r="B26" t="s">
        <v>28</v>
      </c>
      <c r="C26" s="1"/>
      <c r="D26" s="9"/>
      <c r="E26" s="1"/>
      <c r="F26" s="9"/>
      <c r="G26" s="1"/>
      <c r="H26" s="9"/>
      <c r="I26" s="1"/>
      <c r="J26" s="9"/>
      <c r="K26" s="1">
        <v>674222</v>
      </c>
      <c r="L26" s="9">
        <v>5</v>
      </c>
      <c r="M26" s="1">
        <v>36361</v>
      </c>
      <c r="N26" s="9">
        <v>2</v>
      </c>
      <c r="O26" s="1"/>
      <c r="P26" s="9"/>
      <c r="Q26" s="1"/>
      <c r="R26" s="9"/>
      <c r="S26" s="1">
        <v>10000</v>
      </c>
      <c r="T26" s="9">
        <v>1</v>
      </c>
      <c r="U26" s="1"/>
      <c r="V26" s="9"/>
      <c r="W26" s="1">
        <v>119000</v>
      </c>
      <c r="X26" s="9">
        <v>1</v>
      </c>
      <c r="Y26" s="1">
        <v>80000</v>
      </c>
      <c r="Z26" s="9">
        <v>1</v>
      </c>
      <c r="AA26" s="1">
        <v>273002</v>
      </c>
      <c r="AB26" s="9">
        <v>1</v>
      </c>
      <c r="AC26" s="1">
        <v>9307</v>
      </c>
      <c r="AD26" s="9">
        <v>1</v>
      </c>
      <c r="AE26" s="1">
        <v>160000</v>
      </c>
      <c r="AF26" s="9">
        <v>3</v>
      </c>
      <c r="AG26" s="1">
        <v>2500</v>
      </c>
      <c r="AH26" s="9">
        <v>1</v>
      </c>
      <c r="AI26" s="1"/>
      <c r="AJ26" s="9"/>
      <c r="AK26" s="1">
        <v>367842</v>
      </c>
      <c r="AL26" s="9">
        <v>1</v>
      </c>
      <c r="AM26" s="1"/>
      <c r="AN26" s="9"/>
      <c r="AO26" s="1"/>
      <c r="AP26" s="9"/>
      <c r="AQ26" s="1"/>
      <c r="AR26" s="9"/>
      <c r="AS26" s="1">
        <v>852968</v>
      </c>
      <c r="AT26" s="9">
        <v>10</v>
      </c>
      <c r="AU26" s="1">
        <v>350700</v>
      </c>
      <c r="AV26" s="9">
        <v>3</v>
      </c>
      <c r="AW26" s="1">
        <v>12500</v>
      </c>
      <c r="AX26" s="9">
        <v>2</v>
      </c>
      <c r="AY26" s="2">
        <v>2948402</v>
      </c>
      <c r="AZ26" s="9">
        <v>32</v>
      </c>
    </row>
    <row r="27" spans="1:52" ht="15">
      <c r="A27" t="s">
        <v>52</v>
      </c>
      <c r="B27" t="s">
        <v>28</v>
      </c>
      <c r="C27" s="1"/>
      <c r="D27" s="9"/>
      <c r="E27" s="1"/>
      <c r="F27" s="9"/>
      <c r="G27" s="1"/>
      <c r="H27" s="9"/>
      <c r="I27" s="1"/>
      <c r="J27" s="9"/>
      <c r="K27" s="1"/>
      <c r="L27" s="9"/>
      <c r="M27" s="1"/>
      <c r="N27" s="9"/>
      <c r="O27" s="1"/>
      <c r="P27" s="9"/>
      <c r="Q27" s="1"/>
      <c r="R27" s="9"/>
      <c r="S27" s="1">
        <v>8000</v>
      </c>
      <c r="T27" s="9">
        <v>2</v>
      </c>
      <c r="U27" s="1"/>
      <c r="V27" s="9"/>
      <c r="W27" s="1"/>
      <c r="X27" s="9"/>
      <c r="Y27" s="1"/>
      <c r="Z27" s="9"/>
      <c r="AA27" s="1"/>
      <c r="AB27" s="9"/>
      <c r="AC27" s="1">
        <v>3500</v>
      </c>
      <c r="AD27" s="9">
        <v>1</v>
      </c>
      <c r="AE27" s="1"/>
      <c r="AF27" s="9"/>
      <c r="AG27" s="1"/>
      <c r="AH27" s="9"/>
      <c r="AI27" s="1"/>
      <c r="AJ27" s="9"/>
      <c r="AK27" s="1"/>
      <c r="AL27" s="9"/>
      <c r="AM27" s="1"/>
      <c r="AN27" s="9"/>
      <c r="AO27" s="1"/>
      <c r="AP27" s="9"/>
      <c r="AQ27" s="1"/>
      <c r="AR27" s="9"/>
      <c r="AS27" s="1"/>
      <c r="AT27" s="9"/>
      <c r="AU27" s="1"/>
      <c r="AV27" s="9"/>
      <c r="AW27" s="1"/>
      <c r="AX27" s="9"/>
      <c r="AY27" s="2">
        <v>11500</v>
      </c>
      <c r="AZ27" s="9">
        <v>3</v>
      </c>
    </row>
    <row r="28" spans="1:52" ht="15">
      <c r="A28" t="s">
        <v>182</v>
      </c>
      <c r="B28" t="s">
        <v>30</v>
      </c>
      <c r="C28" s="1">
        <v>1322000</v>
      </c>
      <c r="D28" s="9">
        <v>4</v>
      </c>
      <c r="E28" s="1">
        <v>2166644</v>
      </c>
      <c r="F28" s="9">
        <v>113</v>
      </c>
      <c r="G28" s="1">
        <v>377020</v>
      </c>
      <c r="H28" s="9">
        <v>17</v>
      </c>
      <c r="I28" s="1">
        <v>82535</v>
      </c>
      <c r="J28" s="9">
        <v>7</v>
      </c>
      <c r="K28" s="1">
        <v>233500</v>
      </c>
      <c r="L28" s="9">
        <v>24</v>
      </c>
      <c r="M28" s="1">
        <v>46500</v>
      </c>
      <c r="N28" s="9">
        <v>6</v>
      </c>
      <c r="O28" s="1">
        <v>28890</v>
      </c>
      <c r="P28" s="9">
        <v>6</v>
      </c>
      <c r="Q28" s="1">
        <v>151960</v>
      </c>
      <c r="R28" s="9">
        <v>21</v>
      </c>
      <c r="S28" s="1">
        <v>22500</v>
      </c>
      <c r="T28" s="9">
        <v>2</v>
      </c>
      <c r="U28" s="1">
        <v>15000</v>
      </c>
      <c r="V28" s="9">
        <v>2</v>
      </c>
      <c r="W28" s="1">
        <v>519680</v>
      </c>
      <c r="X28" s="9">
        <v>35</v>
      </c>
      <c r="Y28" s="1">
        <v>112400</v>
      </c>
      <c r="Z28" s="9">
        <v>10</v>
      </c>
      <c r="AA28" s="1">
        <v>35000</v>
      </c>
      <c r="AB28" s="9">
        <v>5</v>
      </c>
      <c r="AC28" s="1">
        <v>1822900</v>
      </c>
      <c r="AD28" s="9">
        <v>48</v>
      </c>
      <c r="AE28" s="1"/>
      <c r="AF28" s="9"/>
      <c r="AG28" s="1"/>
      <c r="AH28" s="9"/>
      <c r="AI28" s="1">
        <v>60000</v>
      </c>
      <c r="AJ28" s="9">
        <v>3</v>
      </c>
      <c r="AK28" s="1">
        <v>28500</v>
      </c>
      <c r="AL28" s="9">
        <v>7</v>
      </c>
      <c r="AM28" s="1">
        <v>5000</v>
      </c>
      <c r="AN28" s="9">
        <v>1</v>
      </c>
      <c r="AO28" s="1">
        <v>5000</v>
      </c>
      <c r="AP28" s="9">
        <v>1</v>
      </c>
      <c r="AQ28" s="1"/>
      <c r="AR28" s="9"/>
      <c r="AS28" s="1">
        <v>382649</v>
      </c>
      <c r="AT28" s="9">
        <v>20</v>
      </c>
      <c r="AU28" s="1">
        <v>231000</v>
      </c>
      <c r="AV28" s="9">
        <v>8</v>
      </c>
      <c r="AW28" s="1">
        <v>21500</v>
      </c>
      <c r="AX28" s="9">
        <v>4</v>
      </c>
      <c r="AY28" s="2">
        <v>7670178</v>
      </c>
      <c r="AZ28" s="9">
        <v>344</v>
      </c>
    </row>
    <row r="29" spans="1:52" ht="15">
      <c r="A29" t="s">
        <v>53</v>
      </c>
      <c r="B29" t="s">
        <v>30</v>
      </c>
      <c r="C29" s="1"/>
      <c r="D29" s="9"/>
      <c r="E29" s="1"/>
      <c r="F29" s="9"/>
      <c r="G29" s="1">
        <v>289714</v>
      </c>
      <c r="H29" s="9">
        <v>89</v>
      </c>
      <c r="I29" s="1"/>
      <c r="J29" s="9"/>
      <c r="K29" s="1"/>
      <c r="L29" s="9"/>
      <c r="M29" s="1">
        <v>19146</v>
      </c>
      <c r="N29" s="9">
        <v>5</v>
      </c>
      <c r="O29" s="1"/>
      <c r="P29" s="9"/>
      <c r="Q29" s="1"/>
      <c r="R29" s="9"/>
      <c r="S29" s="1">
        <v>15000</v>
      </c>
      <c r="T29" s="9">
        <v>3</v>
      </c>
      <c r="U29" s="1"/>
      <c r="V29" s="9"/>
      <c r="W29" s="1"/>
      <c r="X29" s="9"/>
      <c r="Y29" s="1"/>
      <c r="Z29" s="9"/>
      <c r="AA29" s="1">
        <v>1000</v>
      </c>
      <c r="AB29" s="9">
        <v>1</v>
      </c>
      <c r="AC29" s="1"/>
      <c r="AD29" s="9"/>
      <c r="AE29" s="1"/>
      <c r="AF29" s="9"/>
      <c r="AG29" s="1"/>
      <c r="AH29" s="9"/>
      <c r="AI29" s="1"/>
      <c r="AJ29" s="9"/>
      <c r="AK29" s="1"/>
      <c r="AL29" s="9"/>
      <c r="AM29" s="1"/>
      <c r="AN29" s="9"/>
      <c r="AO29" s="1"/>
      <c r="AP29" s="9"/>
      <c r="AQ29" s="1"/>
      <c r="AR29" s="9"/>
      <c r="AS29" s="1"/>
      <c r="AT29" s="9"/>
      <c r="AU29" s="1"/>
      <c r="AV29" s="9"/>
      <c r="AW29" s="1"/>
      <c r="AX29" s="9"/>
      <c r="AY29" s="2">
        <v>324860</v>
      </c>
      <c r="AZ29" s="9">
        <v>98</v>
      </c>
    </row>
    <row r="30" spans="1:52" ht="15">
      <c r="A30" t="s">
        <v>54</v>
      </c>
      <c r="B30" t="s">
        <v>28</v>
      </c>
      <c r="C30" s="1"/>
      <c r="D30" s="9"/>
      <c r="E30" s="1"/>
      <c r="F30" s="9"/>
      <c r="G30" s="1"/>
      <c r="H30" s="9"/>
      <c r="I30" s="1"/>
      <c r="J30" s="9"/>
      <c r="K30" s="1"/>
      <c r="L30" s="9"/>
      <c r="M30" s="1"/>
      <c r="N30" s="9"/>
      <c r="O30" s="1"/>
      <c r="P30" s="9"/>
      <c r="Q30" s="1"/>
      <c r="R30" s="9"/>
      <c r="S30" s="1"/>
      <c r="T30" s="9"/>
      <c r="U30" s="1"/>
      <c r="V30" s="9"/>
      <c r="W30" s="1"/>
      <c r="X30" s="9"/>
      <c r="Y30" s="1">
        <v>55000</v>
      </c>
      <c r="Z30" s="9">
        <v>2</v>
      </c>
      <c r="AA30" s="1"/>
      <c r="AB30" s="9"/>
      <c r="AC30" s="1"/>
      <c r="AD30" s="9"/>
      <c r="AE30" s="1">
        <v>5000</v>
      </c>
      <c r="AF30" s="9">
        <v>1</v>
      </c>
      <c r="AG30" s="1"/>
      <c r="AH30" s="9"/>
      <c r="AI30" s="1"/>
      <c r="AJ30" s="9"/>
      <c r="AK30" s="1"/>
      <c r="AL30" s="9"/>
      <c r="AM30" s="1"/>
      <c r="AN30" s="9"/>
      <c r="AO30" s="1"/>
      <c r="AP30" s="9"/>
      <c r="AQ30" s="1"/>
      <c r="AR30" s="9"/>
      <c r="AS30" s="1"/>
      <c r="AT30" s="9"/>
      <c r="AU30" s="1"/>
      <c r="AV30" s="9"/>
      <c r="AW30" s="1"/>
      <c r="AX30" s="9"/>
      <c r="AY30" s="2">
        <v>60000</v>
      </c>
      <c r="AZ30" s="9">
        <v>3</v>
      </c>
    </row>
    <row r="31" spans="1:52" ht="15">
      <c r="A31" t="s">
        <v>55</v>
      </c>
      <c r="B31" t="s">
        <v>30</v>
      </c>
      <c r="C31" s="1"/>
      <c r="D31" s="9"/>
      <c r="E31" s="1"/>
      <c r="F31" s="9"/>
      <c r="G31" s="1"/>
      <c r="H31" s="9"/>
      <c r="I31" s="1"/>
      <c r="J31" s="9"/>
      <c r="K31" s="1">
        <v>101590</v>
      </c>
      <c r="L31" s="9">
        <v>72</v>
      </c>
      <c r="M31" s="1">
        <v>21366</v>
      </c>
      <c r="N31" s="9">
        <v>13</v>
      </c>
      <c r="O31" s="1">
        <v>14750</v>
      </c>
      <c r="P31" s="9">
        <v>12</v>
      </c>
      <c r="Q31" s="1"/>
      <c r="R31" s="9"/>
      <c r="S31" s="1">
        <v>2000</v>
      </c>
      <c r="T31" s="9">
        <v>2</v>
      </c>
      <c r="U31" s="1">
        <v>8500</v>
      </c>
      <c r="V31" s="9">
        <v>8</v>
      </c>
      <c r="W31" s="1">
        <v>45970</v>
      </c>
      <c r="X31" s="9">
        <v>35</v>
      </c>
      <c r="Y31" s="1"/>
      <c r="Z31" s="9"/>
      <c r="AA31" s="1">
        <v>46325</v>
      </c>
      <c r="AB31" s="9">
        <v>31</v>
      </c>
      <c r="AC31" s="1">
        <v>164756</v>
      </c>
      <c r="AD31" s="9">
        <v>97</v>
      </c>
      <c r="AE31" s="1"/>
      <c r="AF31" s="9"/>
      <c r="AG31" s="1"/>
      <c r="AH31" s="9"/>
      <c r="AI31" s="1">
        <v>5000</v>
      </c>
      <c r="AJ31" s="9">
        <v>4</v>
      </c>
      <c r="AK31" s="1"/>
      <c r="AL31" s="9"/>
      <c r="AM31" s="1">
        <v>22200</v>
      </c>
      <c r="AN31" s="9">
        <v>13</v>
      </c>
      <c r="AO31" s="1">
        <v>39773</v>
      </c>
      <c r="AP31" s="9">
        <v>21</v>
      </c>
      <c r="AQ31" s="1">
        <v>1000</v>
      </c>
      <c r="AR31" s="9">
        <v>1</v>
      </c>
      <c r="AS31" s="1"/>
      <c r="AT31" s="9"/>
      <c r="AU31" s="1">
        <v>37027</v>
      </c>
      <c r="AV31" s="9">
        <v>19</v>
      </c>
      <c r="AW31" s="1">
        <v>25385</v>
      </c>
      <c r="AX31" s="9">
        <v>18</v>
      </c>
      <c r="AY31" s="2">
        <v>535642</v>
      </c>
      <c r="AZ31" s="9">
        <v>346</v>
      </c>
    </row>
    <row r="32" spans="1:52" ht="15">
      <c r="A32" t="s">
        <v>179</v>
      </c>
      <c r="B32" t="s">
        <v>30</v>
      </c>
      <c r="C32" s="1"/>
      <c r="D32" s="9"/>
      <c r="E32" s="1"/>
      <c r="F32" s="9"/>
      <c r="G32" s="1"/>
      <c r="H32" s="9"/>
      <c r="I32" s="1">
        <v>302766.2</v>
      </c>
      <c r="J32" s="9">
        <v>94</v>
      </c>
      <c r="K32" s="1"/>
      <c r="L32" s="9"/>
      <c r="M32" s="1"/>
      <c r="N32" s="9"/>
      <c r="O32" s="1"/>
      <c r="P32" s="9"/>
      <c r="Q32" s="1">
        <v>321045.63</v>
      </c>
      <c r="R32" s="9">
        <v>100</v>
      </c>
      <c r="S32" s="1"/>
      <c r="T32" s="9"/>
      <c r="U32" s="1"/>
      <c r="V32" s="9"/>
      <c r="W32" s="1"/>
      <c r="X32" s="9"/>
      <c r="Y32" s="1"/>
      <c r="Z32" s="9"/>
      <c r="AA32" s="1"/>
      <c r="AB32" s="9"/>
      <c r="AC32" s="1"/>
      <c r="AD32" s="9"/>
      <c r="AE32" s="1"/>
      <c r="AF32" s="9"/>
      <c r="AG32" s="1"/>
      <c r="AH32" s="9"/>
      <c r="AI32" s="1"/>
      <c r="AJ32" s="9"/>
      <c r="AK32" s="1">
        <v>298060.75</v>
      </c>
      <c r="AL32" s="9">
        <v>109</v>
      </c>
      <c r="AM32" s="1"/>
      <c r="AN32" s="9"/>
      <c r="AO32" s="1"/>
      <c r="AP32" s="9"/>
      <c r="AQ32" s="1"/>
      <c r="AR32" s="9"/>
      <c r="AS32" s="1">
        <v>642512.11</v>
      </c>
      <c r="AT32" s="9">
        <v>241</v>
      </c>
      <c r="AU32" s="1"/>
      <c r="AV32" s="9"/>
      <c r="AW32" s="1"/>
      <c r="AX32" s="9"/>
      <c r="AY32" s="2">
        <v>1564384.69</v>
      </c>
      <c r="AZ32" s="9">
        <v>544</v>
      </c>
    </row>
    <row r="33" spans="1:52" ht="15">
      <c r="A33" t="s">
        <v>56</v>
      </c>
      <c r="B33" t="s">
        <v>173</v>
      </c>
      <c r="C33" s="1"/>
      <c r="D33" s="9"/>
      <c r="E33" s="1"/>
      <c r="F33" s="9"/>
      <c r="G33" s="1"/>
      <c r="H33" s="9"/>
      <c r="I33" s="1">
        <v>322181</v>
      </c>
      <c r="J33" s="9">
        <v>10</v>
      </c>
      <c r="K33" s="1">
        <v>1507199</v>
      </c>
      <c r="L33" s="9">
        <v>41</v>
      </c>
      <c r="M33" s="1">
        <v>401851</v>
      </c>
      <c r="N33" s="9">
        <v>24</v>
      </c>
      <c r="O33" s="1">
        <v>210334</v>
      </c>
      <c r="P33" s="9">
        <v>5</v>
      </c>
      <c r="Q33" s="1">
        <v>209739</v>
      </c>
      <c r="R33" s="9">
        <v>14</v>
      </c>
      <c r="S33" s="1">
        <v>549781</v>
      </c>
      <c r="T33" s="9">
        <v>17</v>
      </c>
      <c r="U33" s="1">
        <v>848992</v>
      </c>
      <c r="V33" s="9">
        <v>11</v>
      </c>
      <c r="W33" s="1">
        <v>676709</v>
      </c>
      <c r="X33" s="9">
        <v>20</v>
      </c>
      <c r="Y33" s="1">
        <v>502985</v>
      </c>
      <c r="Z33" s="9">
        <v>17</v>
      </c>
      <c r="AA33" s="1">
        <v>301374</v>
      </c>
      <c r="AB33" s="9">
        <v>18</v>
      </c>
      <c r="AC33" s="1">
        <v>6561582</v>
      </c>
      <c r="AD33" s="9">
        <v>50</v>
      </c>
      <c r="AE33" s="1">
        <v>125935</v>
      </c>
      <c r="AF33" s="9">
        <v>5</v>
      </c>
      <c r="AG33" s="1">
        <v>74195</v>
      </c>
      <c r="AH33" s="9">
        <v>6</v>
      </c>
      <c r="AI33" s="1">
        <v>11650</v>
      </c>
      <c r="AJ33" s="9">
        <v>2</v>
      </c>
      <c r="AK33" s="1">
        <v>1059962</v>
      </c>
      <c r="AL33" s="9">
        <v>13</v>
      </c>
      <c r="AM33" s="1">
        <v>101734</v>
      </c>
      <c r="AN33" s="9">
        <v>3</v>
      </c>
      <c r="AO33" s="1">
        <v>180960</v>
      </c>
      <c r="AP33" s="9">
        <v>9</v>
      </c>
      <c r="AQ33" s="1">
        <v>134961</v>
      </c>
      <c r="AR33" s="9">
        <v>5</v>
      </c>
      <c r="AS33" s="1">
        <v>8185681</v>
      </c>
      <c r="AT33" s="9">
        <v>57</v>
      </c>
      <c r="AU33" s="1">
        <v>413711</v>
      </c>
      <c r="AV33" s="9">
        <v>14</v>
      </c>
      <c r="AW33" s="1">
        <v>134945</v>
      </c>
      <c r="AX33" s="9">
        <v>11</v>
      </c>
      <c r="AY33" s="2">
        <v>22516461</v>
      </c>
      <c r="AZ33" s="9">
        <v>352</v>
      </c>
    </row>
    <row r="34" spans="1:52" ht="15">
      <c r="A34" t="s">
        <v>186</v>
      </c>
      <c r="B34" t="s">
        <v>30</v>
      </c>
      <c r="C34" s="1"/>
      <c r="D34" s="9"/>
      <c r="E34" s="1"/>
      <c r="F34" s="9"/>
      <c r="G34" s="1"/>
      <c r="H34" s="9"/>
      <c r="I34" s="1">
        <v>17000</v>
      </c>
      <c r="J34" s="9">
        <v>5</v>
      </c>
      <c r="K34" s="1">
        <v>61300</v>
      </c>
      <c r="L34" s="9">
        <v>19</v>
      </c>
      <c r="M34" s="1"/>
      <c r="N34" s="9"/>
      <c r="O34" s="1">
        <v>6000</v>
      </c>
      <c r="P34" s="9">
        <v>3</v>
      </c>
      <c r="Q34" s="1">
        <v>4500</v>
      </c>
      <c r="R34" s="9">
        <v>2</v>
      </c>
      <c r="S34" s="1">
        <v>1200</v>
      </c>
      <c r="T34" s="9">
        <v>1</v>
      </c>
      <c r="U34" s="1">
        <v>5000</v>
      </c>
      <c r="V34" s="9">
        <v>1</v>
      </c>
      <c r="W34" s="1">
        <v>303675</v>
      </c>
      <c r="X34" s="9">
        <v>77</v>
      </c>
      <c r="Y34" s="1">
        <v>62900</v>
      </c>
      <c r="Z34" s="9">
        <v>19</v>
      </c>
      <c r="AA34" s="1">
        <v>5000</v>
      </c>
      <c r="AB34" s="9">
        <v>1</v>
      </c>
      <c r="AC34" s="1">
        <v>141000</v>
      </c>
      <c r="AD34" s="9">
        <v>43</v>
      </c>
      <c r="AE34" s="1"/>
      <c r="AF34" s="9"/>
      <c r="AG34" s="1"/>
      <c r="AH34" s="9"/>
      <c r="AI34" s="1">
        <v>3000</v>
      </c>
      <c r="AJ34" s="9">
        <v>1</v>
      </c>
      <c r="AK34" s="1"/>
      <c r="AL34" s="9"/>
      <c r="AM34" s="1">
        <v>24000</v>
      </c>
      <c r="AN34" s="9">
        <v>7</v>
      </c>
      <c r="AO34" s="1">
        <v>20000</v>
      </c>
      <c r="AP34" s="9">
        <v>4</v>
      </c>
      <c r="AQ34" s="1">
        <v>5000</v>
      </c>
      <c r="AR34" s="9">
        <v>1</v>
      </c>
      <c r="AS34" s="1">
        <v>33900</v>
      </c>
      <c r="AT34" s="9">
        <v>14</v>
      </c>
      <c r="AU34" s="1">
        <v>24000</v>
      </c>
      <c r="AV34" s="9">
        <v>4</v>
      </c>
      <c r="AW34" s="1">
        <v>39500</v>
      </c>
      <c r="AX34" s="9">
        <v>10</v>
      </c>
      <c r="AY34" s="2">
        <v>756975</v>
      </c>
      <c r="AZ34" s="9">
        <v>212</v>
      </c>
    </row>
    <row r="35" spans="1:52" ht="15">
      <c r="A35" t="s">
        <v>185</v>
      </c>
      <c r="B35" t="s">
        <v>30</v>
      </c>
      <c r="C35" s="1"/>
      <c r="D35" s="9"/>
      <c r="E35" s="1"/>
      <c r="F35" s="9"/>
      <c r="G35" s="1"/>
      <c r="H35" s="9"/>
      <c r="I35" s="1"/>
      <c r="J35" s="9"/>
      <c r="K35" s="1"/>
      <c r="L35" s="9"/>
      <c r="M35" s="1"/>
      <c r="N35" s="9"/>
      <c r="O35" s="1">
        <v>42215.18</v>
      </c>
      <c r="P35" s="9">
        <v>14</v>
      </c>
      <c r="Q35" s="1"/>
      <c r="R35" s="9"/>
      <c r="S35" s="1"/>
      <c r="T35" s="9"/>
      <c r="U35" s="1"/>
      <c r="V35" s="9"/>
      <c r="W35" s="1"/>
      <c r="X35" s="9"/>
      <c r="Y35" s="1"/>
      <c r="Z35" s="9"/>
      <c r="AA35" s="1"/>
      <c r="AB35" s="9"/>
      <c r="AC35" s="1"/>
      <c r="AD35" s="9"/>
      <c r="AE35" s="1"/>
      <c r="AF35" s="9"/>
      <c r="AG35" s="1"/>
      <c r="AH35" s="9"/>
      <c r="AI35" s="1"/>
      <c r="AJ35" s="9"/>
      <c r="AK35" s="1"/>
      <c r="AL35" s="9"/>
      <c r="AM35" s="1"/>
      <c r="AN35" s="9"/>
      <c r="AO35" s="1"/>
      <c r="AP35" s="9"/>
      <c r="AQ35" s="1"/>
      <c r="AR35" s="9"/>
      <c r="AS35" s="1"/>
      <c r="AT35" s="9"/>
      <c r="AU35" s="1"/>
      <c r="AV35" s="9"/>
      <c r="AW35" s="1"/>
      <c r="AX35" s="9"/>
      <c r="AY35" s="2">
        <v>42215.18</v>
      </c>
      <c r="AZ35" s="9">
        <v>14</v>
      </c>
    </row>
    <row r="36" spans="1:52" ht="15">
      <c r="A36" t="s">
        <v>57</v>
      </c>
      <c r="B36" t="s">
        <v>30</v>
      </c>
      <c r="C36" s="1"/>
      <c r="D36" s="9"/>
      <c r="E36" s="1"/>
      <c r="F36" s="9"/>
      <c r="G36" s="1">
        <v>15000</v>
      </c>
      <c r="H36" s="9">
        <v>1</v>
      </c>
      <c r="I36" s="1">
        <v>43096</v>
      </c>
      <c r="J36" s="9">
        <v>5</v>
      </c>
      <c r="K36" s="1">
        <v>235384</v>
      </c>
      <c r="L36" s="9">
        <v>27</v>
      </c>
      <c r="M36" s="1">
        <v>72740</v>
      </c>
      <c r="N36" s="9">
        <v>6</v>
      </c>
      <c r="O36" s="1">
        <v>5434</v>
      </c>
      <c r="P36" s="9">
        <v>2</v>
      </c>
      <c r="Q36" s="1">
        <v>79654</v>
      </c>
      <c r="R36" s="9">
        <v>10</v>
      </c>
      <c r="S36" s="1">
        <v>40500</v>
      </c>
      <c r="T36" s="9">
        <v>4</v>
      </c>
      <c r="U36" s="1"/>
      <c r="V36" s="9"/>
      <c r="W36" s="1">
        <v>47302</v>
      </c>
      <c r="X36" s="9">
        <v>7</v>
      </c>
      <c r="Y36" s="1">
        <v>67649</v>
      </c>
      <c r="Z36" s="9">
        <v>9</v>
      </c>
      <c r="AA36" s="1">
        <v>60916</v>
      </c>
      <c r="AB36" s="9">
        <v>6</v>
      </c>
      <c r="AC36" s="1">
        <v>127612</v>
      </c>
      <c r="AD36" s="9">
        <v>14</v>
      </c>
      <c r="AE36" s="1"/>
      <c r="AF36" s="9"/>
      <c r="AG36" s="1"/>
      <c r="AH36" s="9"/>
      <c r="AI36" s="1"/>
      <c r="AJ36" s="9"/>
      <c r="AK36" s="1">
        <v>36199</v>
      </c>
      <c r="AL36" s="9">
        <v>5</v>
      </c>
      <c r="AM36" s="1">
        <v>18000</v>
      </c>
      <c r="AN36" s="9">
        <v>2</v>
      </c>
      <c r="AO36" s="1">
        <v>55110</v>
      </c>
      <c r="AP36" s="9">
        <v>10</v>
      </c>
      <c r="AQ36" s="1"/>
      <c r="AR36" s="9"/>
      <c r="AS36" s="1">
        <v>292914</v>
      </c>
      <c r="AT36" s="9">
        <v>28</v>
      </c>
      <c r="AU36" s="1">
        <v>57669</v>
      </c>
      <c r="AV36" s="9">
        <v>8</v>
      </c>
      <c r="AW36" s="1">
        <v>70000</v>
      </c>
      <c r="AX36" s="9">
        <v>8</v>
      </c>
      <c r="AY36" s="2">
        <v>1325179</v>
      </c>
      <c r="AZ36" s="9">
        <v>152</v>
      </c>
    </row>
    <row r="37" spans="1:52" ht="15">
      <c r="A37" t="s">
        <v>58</v>
      </c>
      <c r="B37" t="s">
        <v>28</v>
      </c>
      <c r="C37" s="1"/>
      <c r="D37" s="9"/>
      <c r="E37" s="1"/>
      <c r="F37" s="9"/>
      <c r="G37" s="1"/>
      <c r="H37" s="9"/>
      <c r="I37" s="1"/>
      <c r="J37" s="9"/>
      <c r="K37" s="1">
        <v>82400</v>
      </c>
      <c r="L37" s="9">
        <v>5</v>
      </c>
      <c r="M37" s="1">
        <v>6500</v>
      </c>
      <c r="N37" s="9">
        <v>1</v>
      </c>
      <c r="O37" s="1"/>
      <c r="P37" s="9"/>
      <c r="Q37" s="1">
        <v>20000</v>
      </c>
      <c r="R37" s="9">
        <v>1</v>
      </c>
      <c r="S37" s="1">
        <v>25000</v>
      </c>
      <c r="T37" s="9">
        <v>2</v>
      </c>
      <c r="U37" s="1"/>
      <c r="V37" s="9"/>
      <c r="W37" s="1">
        <v>25000</v>
      </c>
      <c r="X37" s="9">
        <v>1</v>
      </c>
      <c r="Y37" s="1">
        <v>116600</v>
      </c>
      <c r="Z37" s="9">
        <v>3</v>
      </c>
      <c r="AA37" s="1">
        <v>37000</v>
      </c>
      <c r="AB37" s="9">
        <v>2</v>
      </c>
      <c r="AC37" s="1">
        <v>9600</v>
      </c>
      <c r="AD37" s="9">
        <v>1</v>
      </c>
      <c r="AE37" s="1">
        <v>40000</v>
      </c>
      <c r="AF37" s="9">
        <v>1</v>
      </c>
      <c r="AG37" s="1"/>
      <c r="AH37" s="9"/>
      <c r="AI37" s="1"/>
      <c r="AJ37" s="9"/>
      <c r="AK37" s="1">
        <v>68500</v>
      </c>
      <c r="AL37" s="9">
        <v>3</v>
      </c>
      <c r="AM37" s="1"/>
      <c r="AN37" s="9"/>
      <c r="AO37" s="1">
        <v>28000</v>
      </c>
      <c r="AP37" s="9">
        <v>2</v>
      </c>
      <c r="AQ37" s="1"/>
      <c r="AR37" s="9"/>
      <c r="AS37" s="1">
        <v>81550</v>
      </c>
      <c r="AT37" s="9">
        <v>6</v>
      </c>
      <c r="AU37" s="1">
        <v>19700</v>
      </c>
      <c r="AV37" s="9">
        <v>2</v>
      </c>
      <c r="AW37" s="1">
        <v>44200</v>
      </c>
      <c r="AX37" s="9">
        <v>3</v>
      </c>
      <c r="AY37" s="2">
        <v>604050</v>
      </c>
      <c r="AZ37" s="9">
        <v>33</v>
      </c>
    </row>
    <row r="38" spans="1:52" ht="15">
      <c r="A38" t="s">
        <v>59</v>
      </c>
      <c r="B38" t="s">
        <v>30</v>
      </c>
      <c r="C38" s="1"/>
      <c r="D38" s="9"/>
      <c r="E38" s="1"/>
      <c r="F38" s="9"/>
      <c r="G38" s="1"/>
      <c r="H38" s="9"/>
      <c r="I38" s="1">
        <v>300</v>
      </c>
      <c r="J38" s="9">
        <v>1</v>
      </c>
      <c r="K38" s="1">
        <v>32847.47</v>
      </c>
      <c r="L38" s="9">
        <v>33</v>
      </c>
      <c r="M38" s="1">
        <v>500</v>
      </c>
      <c r="N38" s="9">
        <v>1</v>
      </c>
      <c r="O38" s="1">
        <v>38118.89</v>
      </c>
      <c r="P38" s="9">
        <v>42</v>
      </c>
      <c r="Q38" s="1"/>
      <c r="R38" s="9"/>
      <c r="S38" s="1"/>
      <c r="T38" s="9"/>
      <c r="U38" s="1"/>
      <c r="V38" s="9"/>
      <c r="W38" s="1">
        <v>623</v>
      </c>
      <c r="X38" s="9">
        <v>1</v>
      </c>
      <c r="Y38" s="1"/>
      <c r="Z38" s="9"/>
      <c r="AA38" s="1"/>
      <c r="AB38" s="9"/>
      <c r="AC38" s="1">
        <v>1800</v>
      </c>
      <c r="AD38" s="9">
        <v>2</v>
      </c>
      <c r="AE38" s="1"/>
      <c r="AF38" s="9"/>
      <c r="AG38" s="1"/>
      <c r="AH38" s="9"/>
      <c r="AI38" s="1"/>
      <c r="AJ38" s="9"/>
      <c r="AK38" s="1"/>
      <c r="AL38" s="9"/>
      <c r="AM38" s="1"/>
      <c r="AN38" s="9"/>
      <c r="AO38" s="1"/>
      <c r="AP38" s="9"/>
      <c r="AQ38" s="1"/>
      <c r="AR38" s="9"/>
      <c r="AS38" s="1"/>
      <c r="AT38" s="9"/>
      <c r="AU38" s="1"/>
      <c r="AV38" s="9"/>
      <c r="AW38" s="1"/>
      <c r="AX38" s="9"/>
      <c r="AY38" s="2">
        <v>74189.36</v>
      </c>
      <c r="AZ38" s="9">
        <v>80</v>
      </c>
    </row>
    <row r="39" spans="1:52" ht="15">
      <c r="A39" t="s">
        <v>60</v>
      </c>
      <c r="B39" t="s">
        <v>28</v>
      </c>
      <c r="C39" s="1"/>
      <c r="D39" s="9"/>
      <c r="E39" s="1"/>
      <c r="F39" s="9"/>
      <c r="G39" s="1"/>
      <c r="H39" s="9"/>
      <c r="I39" s="1"/>
      <c r="J39" s="9"/>
      <c r="K39" s="1">
        <v>81000</v>
      </c>
      <c r="L39" s="9">
        <v>1</v>
      </c>
      <c r="M39" s="1">
        <v>60000</v>
      </c>
      <c r="N39" s="9">
        <v>1</v>
      </c>
      <c r="O39" s="1"/>
      <c r="P39" s="9"/>
      <c r="Q39" s="1">
        <v>21611</v>
      </c>
      <c r="R39" s="9">
        <v>1</v>
      </c>
      <c r="S39" s="1">
        <v>15000</v>
      </c>
      <c r="T39" s="9">
        <v>1</v>
      </c>
      <c r="U39" s="1"/>
      <c r="V39" s="9"/>
      <c r="W39" s="1"/>
      <c r="X39" s="9"/>
      <c r="Y39" s="1"/>
      <c r="Z39" s="9"/>
      <c r="AA39" s="1"/>
      <c r="AB39" s="9"/>
      <c r="AC39" s="1"/>
      <c r="AD39" s="9"/>
      <c r="AE39" s="1"/>
      <c r="AF39" s="9"/>
      <c r="AG39" s="1"/>
      <c r="AH39" s="9"/>
      <c r="AI39" s="1"/>
      <c r="AJ39" s="9"/>
      <c r="AK39" s="1"/>
      <c r="AL39" s="9"/>
      <c r="AM39" s="1"/>
      <c r="AN39" s="9"/>
      <c r="AO39" s="1"/>
      <c r="AP39" s="9"/>
      <c r="AQ39" s="1"/>
      <c r="AR39" s="9"/>
      <c r="AS39" s="1">
        <v>30268</v>
      </c>
      <c r="AT39" s="9">
        <v>1</v>
      </c>
      <c r="AU39" s="1"/>
      <c r="AV39" s="9"/>
      <c r="AW39" s="1"/>
      <c r="AX39" s="9"/>
      <c r="AY39" s="2">
        <v>207879</v>
      </c>
      <c r="AZ39" s="9">
        <v>5</v>
      </c>
    </row>
    <row r="40" spans="1:52" ht="15">
      <c r="A40" t="s">
        <v>61</v>
      </c>
      <c r="B40" t="s">
        <v>30</v>
      </c>
      <c r="C40" s="1"/>
      <c r="D40" s="9"/>
      <c r="E40" s="1"/>
      <c r="F40" s="9"/>
      <c r="G40" s="1"/>
      <c r="H40" s="9"/>
      <c r="I40" s="1"/>
      <c r="J40" s="9"/>
      <c r="K40" s="1"/>
      <c r="L40" s="9"/>
      <c r="M40" s="1">
        <v>6000</v>
      </c>
      <c r="N40" s="9">
        <v>1</v>
      </c>
      <c r="O40" s="1"/>
      <c r="P40" s="9"/>
      <c r="Q40" s="1"/>
      <c r="R40" s="9"/>
      <c r="S40" s="1"/>
      <c r="T40" s="9"/>
      <c r="U40" s="1"/>
      <c r="V40" s="9"/>
      <c r="W40" s="1"/>
      <c r="X40" s="9"/>
      <c r="Y40" s="1"/>
      <c r="Z40" s="9"/>
      <c r="AA40" s="1"/>
      <c r="AB40" s="9"/>
      <c r="AC40" s="1"/>
      <c r="AD40" s="9"/>
      <c r="AE40" s="1"/>
      <c r="AF40" s="9"/>
      <c r="AG40" s="1"/>
      <c r="AH40" s="9"/>
      <c r="AI40" s="1"/>
      <c r="AJ40" s="9"/>
      <c r="AK40" s="1"/>
      <c r="AL40" s="9"/>
      <c r="AM40" s="1"/>
      <c r="AN40" s="9"/>
      <c r="AO40" s="1"/>
      <c r="AP40" s="9"/>
      <c r="AQ40" s="1"/>
      <c r="AR40" s="9"/>
      <c r="AS40" s="1"/>
      <c r="AT40" s="9"/>
      <c r="AU40" s="1"/>
      <c r="AV40" s="9"/>
      <c r="AW40" s="1">
        <v>20000</v>
      </c>
      <c r="AX40" s="9">
        <v>2</v>
      </c>
      <c r="AY40" s="2">
        <v>26000</v>
      </c>
      <c r="AZ40" s="9">
        <v>3</v>
      </c>
    </row>
    <row r="41" spans="1:52" ht="15">
      <c r="A41" t="s">
        <v>62</v>
      </c>
      <c r="B41" t="s">
        <v>28</v>
      </c>
      <c r="C41" s="1"/>
      <c r="D41" s="9"/>
      <c r="E41" s="1"/>
      <c r="F41" s="9"/>
      <c r="G41" s="1"/>
      <c r="H41" s="9"/>
      <c r="I41" s="1">
        <v>89000</v>
      </c>
      <c r="J41" s="9">
        <v>1</v>
      </c>
      <c r="K41" s="1">
        <v>747900</v>
      </c>
      <c r="L41" s="9">
        <v>11</v>
      </c>
      <c r="M41" s="1">
        <v>68200</v>
      </c>
      <c r="N41" s="9">
        <v>1</v>
      </c>
      <c r="O41" s="1"/>
      <c r="P41" s="9"/>
      <c r="Q41" s="1">
        <v>119900</v>
      </c>
      <c r="R41" s="9">
        <v>2</v>
      </c>
      <c r="S41" s="1"/>
      <c r="T41" s="9"/>
      <c r="U41" s="1"/>
      <c r="V41" s="9"/>
      <c r="W41" s="1"/>
      <c r="X41" s="9"/>
      <c r="Y41" s="1">
        <v>90100</v>
      </c>
      <c r="Z41" s="9">
        <v>2</v>
      </c>
      <c r="AA41" s="1">
        <v>74500</v>
      </c>
      <c r="AB41" s="9">
        <v>2</v>
      </c>
      <c r="AC41" s="1">
        <v>1007700</v>
      </c>
      <c r="AD41" s="9">
        <v>13</v>
      </c>
      <c r="AE41" s="1"/>
      <c r="AF41" s="9"/>
      <c r="AG41" s="1">
        <v>87900</v>
      </c>
      <c r="AH41" s="9">
        <v>1</v>
      </c>
      <c r="AI41" s="1"/>
      <c r="AJ41" s="9"/>
      <c r="AK41" s="1">
        <v>173200</v>
      </c>
      <c r="AL41" s="9">
        <v>3</v>
      </c>
      <c r="AM41" s="1">
        <v>119000</v>
      </c>
      <c r="AN41" s="9">
        <v>2</v>
      </c>
      <c r="AO41" s="1">
        <v>77800</v>
      </c>
      <c r="AP41" s="9">
        <v>1</v>
      </c>
      <c r="AQ41" s="1"/>
      <c r="AR41" s="9"/>
      <c r="AS41" s="1">
        <v>201410</v>
      </c>
      <c r="AT41" s="9">
        <v>7</v>
      </c>
      <c r="AU41" s="1">
        <v>184300</v>
      </c>
      <c r="AV41" s="9">
        <v>2</v>
      </c>
      <c r="AW41" s="1">
        <v>70000</v>
      </c>
      <c r="AX41" s="9">
        <v>1</v>
      </c>
      <c r="AY41" s="2">
        <v>3110910</v>
      </c>
      <c r="AZ41" s="9">
        <v>49</v>
      </c>
    </row>
    <row r="42" spans="1:52" ht="15">
      <c r="A42" t="s">
        <v>63</v>
      </c>
      <c r="B42" t="s">
        <v>28</v>
      </c>
      <c r="C42" s="1"/>
      <c r="D42" s="9"/>
      <c r="E42" s="1"/>
      <c r="F42" s="9"/>
      <c r="G42" s="1"/>
      <c r="H42" s="9"/>
      <c r="I42" s="1"/>
      <c r="J42" s="9"/>
      <c r="K42" s="1">
        <v>25000</v>
      </c>
      <c r="L42" s="9">
        <v>1</v>
      </c>
      <c r="M42" s="1"/>
      <c r="N42" s="9"/>
      <c r="O42" s="1">
        <v>25000</v>
      </c>
      <c r="P42" s="9">
        <v>1</v>
      </c>
      <c r="Q42" s="1">
        <v>20000</v>
      </c>
      <c r="R42" s="9">
        <v>1</v>
      </c>
      <c r="S42" s="1"/>
      <c r="T42" s="9"/>
      <c r="U42" s="1"/>
      <c r="V42" s="9"/>
      <c r="W42" s="1">
        <v>45000</v>
      </c>
      <c r="X42" s="9">
        <v>1</v>
      </c>
      <c r="Y42" s="1"/>
      <c r="Z42" s="9"/>
      <c r="AA42" s="1"/>
      <c r="AB42" s="9"/>
      <c r="AC42" s="1">
        <v>55000</v>
      </c>
      <c r="AD42" s="9">
        <v>2</v>
      </c>
      <c r="AE42" s="1"/>
      <c r="AF42" s="9"/>
      <c r="AG42" s="1"/>
      <c r="AH42" s="9"/>
      <c r="AI42" s="1"/>
      <c r="AJ42" s="9"/>
      <c r="AK42" s="1"/>
      <c r="AL42" s="9"/>
      <c r="AM42" s="1"/>
      <c r="AN42" s="9"/>
      <c r="AO42" s="1"/>
      <c r="AP42" s="9"/>
      <c r="AQ42" s="1"/>
      <c r="AR42" s="9"/>
      <c r="AS42" s="1">
        <v>35000</v>
      </c>
      <c r="AT42" s="9">
        <v>1</v>
      </c>
      <c r="AU42" s="1"/>
      <c r="AV42" s="9"/>
      <c r="AW42" s="1">
        <v>55000</v>
      </c>
      <c r="AX42" s="9">
        <v>2</v>
      </c>
      <c r="AY42" s="2">
        <v>260000</v>
      </c>
      <c r="AZ42" s="9">
        <v>9</v>
      </c>
    </row>
    <row r="43" spans="1:52" ht="15">
      <c r="A43" t="s">
        <v>64</v>
      </c>
      <c r="B43" t="s">
        <v>30</v>
      </c>
      <c r="C43" s="1"/>
      <c r="D43" s="9"/>
      <c r="E43" s="1"/>
      <c r="F43" s="9"/>
      <c r="G43" s="1"/>
      <c r="H43" s="9"/>
      <c r="I43" s="1">
        <v>1000</v>
      </c>
      <c r="J43" s="9">
        <v>1</v>
      </c>
      <c r="K43" s="1"/>
      <c r="L43" s="9"/>
      <c r="M43" s="1"/>
      <c r="N43" s="9"/>
      <c r="O43" s="1"/>
      <c r="P43" s="9"/>
      <c r="Q43" s="1"/>
      <c r="R43" s="9"/>
      <c r="S43" s="1"/>
      <c r="T43" s="9"/>
      <c r="U43" s="1"/>
      <c r="V43" s="9"/>
      <c r="W43" s="1"/>
      <c r="X43" s="9"/>
      <c r="Y43" s="1"/>
      <c r="Z43" s="9"/>
      <c r="AA43" s="1"/>
      <c r="AB43" s="9"/>
      <c r="AC43" s="1"/>
      <c r="AD43" s="9"/>
      <c r="AE43" s="1"/>
      <c r="AF43" s="9"/>
      <c r="AG43" s="1"/>
      <c r="AH43" s="9"/>
      <c r="AI43" s="1"/>
      <c r="AJ43" s="9"/>
      <c r="AK43" s="1">
        <v>7884</v>
      </c>
      <c r="AL43" s="9">
        <v>3</v>
      </c>
      <c r="AM43" s="1"/>
      <c r="AN43" s="9"/>
      <c r="AO43" s="1"/>
      <c r="AP43" s="9"/>
      <c r="AQ43" s="1"/>
      <c r="AR43" s="9"/>
      <c r="AS43" s="1">
        <v>150429</v>
      </c>
      <c r="AT43" s="9">
        <v>58</v>
      </c>
      <c r="AU43" s="1"/>
      <c r="AV43" s="9"/>
      <c r="AW43" s="1"/>
      <c r="AX43" s="9"/>
      <c r="AY43" s="2">
        <v>159313</v>
      </c>
      <c r="AZ43" s="9">
        <v>62</v>
      </c>
    </row>
    <row r="44" spans="1:52" ht="15">
      <c r="A44" t="s">
        <v>65</v>
      </c>
      <c r="B44" t="s">
        <v>28</v>
      </c>
      <c r="C44" s="1"/>
      <c r="D44" s="9"/>
      <c r="E44" s="1"/>
      <c r="F44" s="9"/>
      <c r="G44" s="1"/>
      <c r="H44" s="9"/>
      <c r="I44" s="1">
        <v>120000</v>
      </c>
      <c r="J44" s="9">
        <v>2</v>
      </c>
      <c r="K44" s="1">
        <v>1018500</v>
      </c>
      <c r="L44" s="9">
        <v>19</v>
      </c>
      <c r="M44" s="1">
        <v>270000</v>
      </c>
      <c r="N44" s="9">
        <v>4</v>
      </c>
      <c r="O44" s="1"/>
      <c r="P44" s="9"/>
      <c r="Q44" s="1"/>
      <c r="R44" s="9"/>
      <c r="S44" s="1">
        <v>72000</v>
      </c>
      <c r="T44" s="9">
        <v>1</v>
      </c>
      <c r="U44" s="1"/>
      <c r="V44" s="9"/>
      <c r="W44" s="1"/>
      <c r="X44" s="9"/>
      <c r="Y44" s="1">
        <v>296500</v>
      </c>
      <c r="Z44" s="9">
        <v>9</v>
      </c>
      <c r="AA44" s="1">
        <v>187500</v>
      </c>
      <c r="AB44" s="9">
        <v>4</v>
      </c>
      <c r="AC44" s="1">
        <v>1205250</v>
      </c>
      <c r="AD44" s="9">
        <v>21</v>
      </c>
      <c r="AE44" s="1">
        <v>112500</v>
      </c>
      <c r="AF44" s="9">
        <v>5</v>
      </c>
      <c r="AG44" s="1">
        <v>180000</v>
      </c>
      <c r="AH44" s="9">
        <v>3</v>
      </c>
      <c r="AI44" s="1"/>
      <c r="AJ44" s="9"/>
      <c r="AK44" s="1">
        <v>225000</v>
      </c>
      <c r="AL44" s="9">
        <v>3</v>
      </c>
      <c r="AM44" s="1"/>
      <c r="AN44" s="9"/>
      <c r="AO44" s="1"/>
      <c r="AP44" s="9"/>
      <c r="AQ44" s="1"/>
      <c r="AR44" s="9"/>
      <c r="AS44" s="1">
        <v>512600</v>
      </c>
      <c r="AT44" s="9">
        <v>11</v>
      </c>
      <c r="AU44" s="1">
        <v>188000</v>
      </c>
      <c r="AV44" s="9">
        <v>4</v>
      </c>
      <c r="AW44" s="1"/>
      <c r="AX44" s="9"/>
      <c r="AY44" s="2">
        <v>4387850</v>
      </c>
      <c r="AZ44" s="9">
        <v>86</v>
      </c>
    </row>
    <row r="45" spans="1:52" ht="15">
      <c r="A45" t="s">
        <v>66</v>
      </c>
      <c r="B45" t="s">
        <v>30</v>
      </c>
      <c r="C45" s="1"/>
      <c r="D45" s="9"/>
      <c r="E45" s="1"/>
      <c r="F45" s="9"/>
      <c r="G45" s="1"/>
      <c r="H45" s="9"/>
      <c r="I45" s="1">
        <v>4992</v>
      </c>
      <c r="J45" s="9">
        <v>1</v>
      </c>
      <c r="K45" s="1">
        <v>41317</v>
      </c>
      <c r="L45" s="9">
        <v>10</v>
      </c>
      <c r="M45" s="1"/>
      <c r="N45" s="9"/>
      <c r="O45" s="1">
        <v>2930</v>
      </c>
      <c r="P45" s="9">
        <v>2</v>
      </c>
      <c r="Q45" s="1">
        <v>8000</v>
      </c>
      <c r="R45" s="9">
        <v>2</v>
      </c>
      <c r="S45" s="1"/>
      <c r="T45" s="9"/>
      <c r="U45" s="1">
        <v>975</v>
      </c>
      <c r="V45" s="9">
        <v>1</v>
      </c>
      <c r="W45" s="1">
        <v>1500</v>
      </c>
      <c r="X45" s="9">
        <v>1</v>
      </c>
      <c r="Y45" s="1"/>
      <c r="Z45" s="9"/>
      <c r="AA45" s="1">
        <v>3395</v>
      </c>
      <c r="AB45" s="9">
        <v>1</v>
      </c>
      <c r="AC45" s="1">
        <v>17571</v>
      </c>
      <c r="AD45" s="9">
        <v>5</v>
      </c>
      <c r="AE45" s="1"/>
      <c r="AF45" s="9"/>
      <c r="AG45" s="1">
        <v>9999</v>
      </c>
      <c r="AH45" s="9">
        <v>2</v>
      </c>
      <c r="AI45" s="1">
        <v>450</v>
      </c>
      <c r="AJ45" s="9">
        <v>1</v>
      </c>
      <c r="AK45" s="1"/>
      <c r="AL45" s="9"/>
      <c r="AM45" s="1">
        <v>2569</v>
      </c>
      <c r="AN45" s="9">
        <v>1</v>
      </c>
      <c r="AO45" s="1"/>
      <c r="AP45" s="9"/>
      <c r="AQ45" s="1"/>
      <c r="AR45" s="9"/>
      <c r="AS45" s="1">
        <v>24910</v>
      </c>
      <c r="AT45" s="9">
        <v>5</v>
      </c>
      <c r="AU45" s="1">
        <v>3450</v>
      </c>
      <c r="AV45" s="9">
        <v>1</v>
      </c>
      <c r="AW45" s="1"/>
      <c r="AX45" s="9"/>
      <c r="AY45" s="2">
        <v>122058</v>
      </c>
      <c r="AZ45" s="9">
        <v>33</v>
      </c>
    </row>
    <row r="46" spans="1:52" ht="15">
      <c r="A46" t="s">
        <v>67</v>
      </c>
      <c r="B46" t="s">
        <v>28</v>
      </c>
      <c r="C46" s="1"/>
      <c r="D46" s="9"/>
      <c r="E46" s="1"/>
      <c r="F46" s="9"/>
      <c r="G46" s="1"/>
      <c r="H46" s="9"/>
      <c r="I46" s="1"/>
      <c r="J46" s="9"/>
      <c r="K46" s="1"/>
      <c r="L46" s="9"/>
      <c r="M46" s="1"/>
      <c r="N46" s="9"/>
      <c r="O46" s="1">
        <v>30000</v>
      </c>
      <c r="P46" s="9">
        <v>1</v>
      </c>
      <c r="Q46" s="1"/>
      <c r="R46" s="9"/>
      <c r="S46" s="1">
        <v>46000</v>
      </c>
      <c r="T46" s="9">
        <v>2</v>
      </c>
      <c r="U46" s="1">
        <v>0</v>
      </c>
      <c r="V46" s="9">
        <v>1</v>
      </c>
      <c r="W46" s="1"/>
      <c r="X46" s="9"/>
      <c r="Y46" s="1">
        <v>90000</v>
      </c>
      <c r="Z46" s="9">
        <v>2</v>
      </c>
      <c r="AA46" s="1"/>
      <c r="AB46" s="9"/>
      <c r="AC46" s="1">
        <v>44000</v>
      </c>
      <c r="AD46" s="9">
        <v>1</v>
      </c>
      <c r="AE46" s="1"/>
      <c r="AF46" s="9"/>
      <c r="AG46" s="1">
        <v>48000</v>
      </c>
      <c r="AH46" s="9">
        <v>1</v>
      </c>
      <c r="AI46" s="1"/>
      <c r="AJ46" s="9"/>
      <c r="AK46" s="1"/>
      <c r="AL46" s="9"/>
      <c r="AM46" s="1"/>
      <c r="AN46" s="9"/>
      <c r="AO46" s="1"/>
      <c r="AP46" s="9"/>
      <c r="AQ46" s="1"/>
      <c r="AR46" s="9"/>
      <c r="AS46" s="1">
        <v>20000</v>
      </c>
      <c r="AT46" s="9">
        <v>1</v>
      </c>
      <c r="AU46" s="1"/>
      <c r="AV46" s="9"/>
      <c r="AW46" s="1">
        <v>250000</v>
      </c>
      <c r="AX46" s="9">
        <v>3</v>
      </c>
      <c r="AY46" s="2">
        <v>528000</v>
      </c>
      <c r="AZ46" s="9">
        <v>12</v>
      </c>
    </row>
    <row r="47" spans="1:52" ht="15">
      <c r="A47" t="s">
        <v>68</v>
      </c>
      <c r="B47" t="s">
        <v>28</v>
      </c>
      <c r="C47" s="1"/>
      <c r="D47" s="9"/>
      <c r="E47" s="1"/>
      <c r="F47" s="9"/>
      <c r="G47" s="1"/>
      <c r="H47" s="9"/>
      <c r="I47" s="1">
        <v>1000</v>
      </c>
      <c r="J47" s="9">
        <v>3</v>
      </c>
      <c r="K47" s="1">
        <v>4300</v>
      </c>
      <c r="L47" s="9">
        <v>8</v>
      </c>
      <c r="M47" s="1">
        <v>1500</v>
      </c>
      <c r="N47" s="9">
        <v>2</v>
      </c>
      <c r="O47" s="1">
        <v>300</v>
      </c>
      <c r="P47" s="9">
        <v>1</v>
      </c>
      <c r="Q47" s="1"/>
      <c r="R47" s="9"/>
      <c r="S47" s="1">
        <v>2000</v>
      </c>
      <c r="T47" s="9">
        <v>2</v>
      </c>
      <c r="U47" s="1"/>
      <c r="V47" s="9"/>
      <c r="W47" s="1">
        <v>500</v>
      </c>
      <c r="X47" s="9">
        <v>1</v>
      </c>
      <c r="Y47" s="1">
        <v>2000</v>
      </c>
      <c r="Z47" s="9">
        <v>2</v>
      </c>
      <c r="AA47" s="1"/>
      <c r="AB47" s="9"/>
      <c r="AC47" s="1">
        <v>3000</v>
      </c>
      <c r="AD47" s="9">
        <v>3</v>
      </c>
      <c r="AE47" s="1"/>
      <c r="AF47" s="9"/>
      <c r="AG47" s="1"/>
      <c r="AH47" s="9"/>
      <c r="AI47" s="1"/>
      <c r="AJ47" s="9"/>
      <c r="AK47" s="1">
        <v>1800</v>
      </c>
      <c r="AL47" s="9">
        <v>3</v>
      </c>
      <c r="AM47" s="1"/>
      <c r="AN47" s="9"/>
      <c r="AO47" s="1">
        <v>500</v>
      </c>
      <c r="AP47" s="9">
        <v>1</v>
      </c>
      <c r="AQ47" s="1"/>
      <c r="AR47" s="9"/>
      <c r="AS47" s="1">
        <v>6000</v>
      </c>
      <c r="AT47" s="9">
        <v>6</v>
      </c>
      <c r="AU47" s="1">
        <v>500</v>
      </c>
      <c r="AV47" s="9">
        <v>1</v>
      </c>
      <c r="AW47" s="1">
        <v>500</v>
      </c>
      <c r="AX47" s="9">
        <v>1</v>
      </c>
      <c r="AY47" s="2">
        <v>23900</v>
      </c>
      <c r="AZ47" s="9">
        <v>34</v>
      </c>
    </row>
    <row r="48" spans="1:52" ht="15">
      <c r="A48" t="s">
        <v>69</v>
      </c>
      <c r="B48" t="s">
        <v>28</v>
      </c>
      <c r="C48" s="1">
        <v>2624897</v>
      </c>
      <c r="D48" s="9">
        <v>136</v>
      </c>
      <c r="E48" s="1"/>
      <c r="F48" s="9"/>
      <c r="G48" s="1"/>
      <c r="H48" s="9"/>
      <c r="I48" s="1"/>
      <c r="J48" s="9"/>
      <c r="K48" s="1"/>
      <c r="L48" s="9"/>
      <c r="M48" s="1"/>
      <c r="N48" s="9"/>
      <c r="O48" s="1"/>
      <c r="P48" s="9"/>
      <c r="Q48" s="1"/>
      <c r="R48" s="9"/>
      <c r="S48" s="1"/>
      <c r="T48" s="9"/>
      <c r="U48" s="1"/>
      <c r="V48" s="9"/>
      <c r="W48" s="1"/>
      <c r="X48" s="9"/>
      <c r="Y48" s="1"/>
      <c r="Z48" s="9"/>
      <c r="AA48" s="1"/>
      <c r="AB48" s="9"/>
      <c r="AC48" s="1"/>
      <c r="AD48" s="9"/>
      <c r="AE48" s="1"/>
      <c r="AF48" s="9"/>
      <c r="AG48" s="1"/>
      <c r="AH48" s="9"/>
      <c r="AI48" s="1"/>
      <c r="AJ48" s="9"/>
      <c r="AK48" s="1"/>
      <c r="AL48" s="9"/>
      <c r="AM48" s="1"/>
      <c r="AN48" s="9"/>
      <c r="AO48" s="1"/>
      <c r="AP48" s="9"/>
      <c r="AQ48" s="1"/>
      <c r="AR48" s="9"/>
      <c r="AS48" s="1"/>
      <c r="AT48" s="9"/>
      <c r="AU48" s="1"/>
      <c r="AV48" s="9"/>
      <c r="AW48" s="1"/>
      <c r="AX48" s="9"/>
      <c r="AY48" s="2">
        <v>2624897</v>
      </c>
      <c r="AZ48" s="9">
        <v>136</v>
      </c>
    </row>
    <row r="49" spans="1:52" ht="15">
      <c r="A49" t="s">
        <v>70</v>
      </c>
      <c r="B49" t="s">
        <v>28</v>
      </c>
      <c r="C49" s="1">
        <v>766358.2</v>
      </c>
      <c r="D49" s="9">
        <v>9</v>
      </c>
      <c r="E49" s="1"/>
      <c r="F49" s="9"/>
      <c r="G49" s="1"/>
      <c r="H49" s="9"/>
      <c r="I49" s="1"/>
      <c r="J49" s="9"/>
      <c r="K49" s="1"/>
      <c r="L49" s="9"/>
      <c r="M49" s="1"/>
      <c r="N49" s="9"/>
      <c r="O49" s="1"/>
      <c r="P49" s="9"/>
      <c r="Q49" s="1"/>
      <c r="R49" s="9"/>
      <c r="S49" s="1"/>
      <c r="T49" s="9"/>
      <c r="U49" s="1"/>
      <c r="V49" s="9"/>
      <c r="W49" s="1"/>
      <c r="X49" s="9"/>
      <c r="Y49" s="1"/>
      <c r="Z49" s="9"/>
      <c r="AA49" s="1"/>
      <c r="AB49" s="9"/>
      <c r="AC49" s="1"/>
      <c r="AD49" s="9"/>
      <c r="AE49" s="1"/>
      <c r="AF49" s="9"/>
      <c r="AG49" s="1"/>
      <c r="AH49" s="9"/>
      <c r="AI49" s="1"/>
      <c r="AJ49" s="9"/>
      <c r="AK49" s="1"/>
      <c r="AL49" s="9"/>
      <c r="AM49" s="1"/>
      <c r="AN49" s="9"/>
      <c r="AO49" s="1"/>
      <c r="AP49" s="9"/>
      <c r="AQ49" s="1"/>
      <c r="AR49" s="9"/>
      <c r="AS49" s="1"/>
      <c r="AT49" s="9"/>
      <c r="AU49" s="1"/>
      <c r="AV49" s="9"/>
      <c r="AW49" s="1"/>
      <c r="AX49" s="9"/>
      <c r="AY49" s="2">
        <v>766358.2</v>
      </c>
      <c r="AZ49" s="9">
        <v>9</v>
      </c>
    </row>
    <row r="50" spans="1:52" ht="15">
      <c r="A50" t="s">
        <v>71</v>
      </c>
      <c r="B50" t="s">
        <v>28</v>
      </c>
      <c r="C50" s="1"/>
      <c r="D50" s="9"/>
      <c r="E50" s="1"/>
      <c r="F50" s="9"/>
      <c r="G50" s="1"/>
      <c r="H50" s="9"/>
      <c r="I50" s="1"/>
      <c r="J50" s="9"/>
      <c r="K50" s="1"/>
      <c r="L50" s="9"/>
      <c r="M50" s="1"/>
      <c r="N50" s="9"/>
      <c r="O50" s="1"/>
      <c r="P50" s="9"/>
      <c r="Q50" s="1"/>
      <c r="R50" s="9"/>
      <c r="S50" s="1"/>
      <c r="T50" s="9"/>
      <c r="U50" s="1"/>
      <c r="V50" s="9"/>
      <c r="W50" s="1"/>
      <c r="X50" s="9"/>
      <c r="Y50" s="1"/>
      <c r="Z50" s="9"/>
      <c r="AA50" s="1"/>
      <c r="AB50" s="9"/>
      <c r="AC50" s="1">
        <v>144968</v>
      </c>
      <c r="AD50" s="9">
        <v>1</v>
      </c>
      <c r="AE50" s="1"/>
      <c r="AF50" s="9"/>
      <c r="AG50" s="1"/>
      <c r="AH50" s="9"/>
      <c r="AI50" s="1"/>
      <c r="AJ50" s="9"/>
      <c r="AK50" s="1"/>
      <c r="AL50" s="9"/>
      <c r="AM50" s="1"/>
      <c r="AN50" s="9"/>
      <c r="AO50" s="1"/>
      <c r="AP50" s="9"/>
      <c r="AQ50" s="1"/>
      <c r="AR50" s="9"/>
      <c r="AS50" s="1"/>
      <c r="AT50" s="9"/>
      <c r="AU50" s="1"/>
      <c r="AV50" s="9"/>
      <c r="AW50" s="1"/>
      <c r="AX50" s="9"/>
      <c r="AY50" s="2">
        <v>144968</v>
      </c>
      <c r="AZ50" s="9">
        <v>1</v>
      </c>
    </row>
    <row r="51" spans="1:52" ht="15">
      <c r="A51" t="s">
        <v>72</v>
      </c>
      <c r="B51" t="s">
        <v>28</v>
      </c>
      <c r="C51" s="1"/>
      <c r="D51" s="9"/>
      <c r="E51" s="1"/>
      <c r="F51" s="9"/>
      <c r="G51" s="1"/>
      <c r="H51" s="9"/>
      <c r="I51" s="1"/>
      <c r="J51" s="9"/>
      <c r="K51" s="1"/>
      <c r="L51" s="9"/>
      <c r="M51" s="1"/>
      <c r="N51" s="9"/>
      <c r="O51" s="1"/>
      <c r="P51" s="9"/>
      <c r="Q51" s="1"/>
      <c r="R51" s="9"/>
      <c r="S51" s="1"/>
      <c r="T51" s="9"/>
      <c r="U51" s="1"/>
      <c r="V51" s="9"/>
      <c r="W51" s="1"/>
      <c r="X51" s="9"/>
      <c r="Y51" s="1"/>
      <c r="Z51" s="9"/>
      <c r="AA51" s="1"/>
      <c r="AB51" s="9"/>
      <c r="AC51" s="1"/>
      <c r="AD51" s="9"/>
      <c r="AE51" s="1"/>
      <c r="AF51" s="9"/>
      <c r="AG51" s="1"/>
      <c r="AH51" s="9"/>
      <c r="AI51" s="1"/>
      <c r="AJ51" s="9"/>
      <c r="AK51" s="1"/>
      <c r="AL51" s="9"/>
      <c r="AM51" s="1"/>
      <c r="AN51" s="9"/>
      <c r="AO51" s="1"/>
      <c r="AP51" s="9"/>
      <c r="AQ51" s="1"/>
      <c r="AR51" s="9"/>
      <c r="AS51" s="1">
        <v>17100</v>
      </c>
      <c r="AT51" s="9">
        <v>1</v>
      </c>
      <c r="AU51" s="1"/>
      <c r="AV51" s="9"/>
      <c r="AW51" s="1"/>
      <c r="AX51" s="9"/>
      <c r="AY51" s="2">
        <v>17100</v>
      </c>
      <c r="AZ51" s="9">
        <v>1</v>
      </c>
    </row>
    <row r="52" spans="1:52" ht="15">
      <c r="A52" t="s">
        <v>73</v>
      </c>
      <c r="B52" t="s">
        <v>28</v>
      </c>
      <c r="C52" s="1"/>
      <c r="D52" s="9"/>
      <c r="E52" s="1"/>
      <c r="F52" s="9"/>
      <c r="G52" s="1"/>
      <c r="H52" s="9"/>
      <c r="I52" s="1"/>
      <c r="J52" s="9"/>
      <c r="K52" s="1"/>
      <c r="L52" s="9"/>
      <c r="M52" s="1"/>
      <c r="N52" s="9"/>
      <c r="O52" s="1"/>
      <c r="P52" s="9"/>
      <c r="Q52" s="1"/>
      <c r="R52" s="9"/>
      <c r="S52" s="1"/>
      <c r="T52" s="9"/>
      <c r="U52" s="1"/>
      <c r="V52" s="9"/>
      <c r="W52" s="1">
        <v>4700</v>
      </c>
      <c r="X52" s="9">
        <v>1</v>
      </c>
      <c r="Y52" s="1"/>
      <c r="Z52" s="9"/>
      <c r="AA52" s="1"/>
      <c r="AB52" s="9"/>
      <c r="AC52" s="1"/>
      <c r="AD52" s="9"/>
      <c r="AE52" s="1"/>
      <c r="AF52" s="9"/>
      <c r="AG52" s="1"/>
      <c r="AH52" s="9"/>
      <c r="AI52" s="1"/>
      <c r="AJ52" s="9"/>
      <c r="AK52" s="1"/>
      <c r="AL52" s="9"/>
      <c r="AM52" s="1"/>
      <c r="AN52" s="9"/>
      <c r="AO52" s="1"/>
      <c r="AP52" s="9"/>
      <c r="AQ52" s="1"/>
      <c r="AR52" s="9"/>
      <c r="AS52" s="1"/>
      <c r="AT52" s="9"/>
      <c r="AU52" s="1"/>
      <c r="AV52" s="9"/>
      <c r="AW52" s="1"/>
      <c r="AX52" s="9"/>
      <c r="AY52" s="2">
        <v>4700</v>
      </c>
      <c r="AZ52" s="9">
        <v>1</v>
      </c>
    </row>
    <row r="53" spans="1:52" ht="15">
      <c r="A53" t="s">
        <v>74</v>
      </c>
      <c r="B53" t="s">
        <v>28</v>
      </c>
      <c r="C53" s="1"/>
      <c r="D53" s="9"/>
      <c r="E53" s="1"/>
      <c r="F53" s="9"/>
      <c r="G53" s="1"/>
      <c r="H53" s="9"/>
      <c r="I53" s="1"/>
      <c r="J53" s="9"/>
      <c r="K53" s="1">
        <v>25000</v>
      </c>
      <c r="L53" s="9">
        <v>1</v>
      </c>
      <c r="M53" s="1"/>
      <c r="N53" s="9"/>
      <c r="O53" s="1"/>
      <c r="P53" s="9"/>
      <c r="Q53" s="1"/>
      <c r="R53" s="9"/>
      <c r="S53" s="1"/>
      <c r="T53" s="9"/>
      <c r="U53" s="1"/>
      <c r="V53" s="9"/>
      <c r="W53" s="1"/>
      <c r="X53" s="9"/>
      <c r="Y53" s="1"/>
      <c r="Z53" s="9"/>
      <c r="AA53" s="1"/>
      <c r="AB53" s="9"/>
      <c r="AC53" s="1"/>
      <c r="AD53" s="9"/>
      <c r="AE53" s="1"/>
      <c r="AF53" s="9"/>
      <c r="AG53" s="1"/>
      <c r="AH53" s="9"/>
      <c r="AI53" s="1"/>
      <c r="AJ53" s="9"/>
      <c r="AK53" s="1"/>
      <c r="AL53" s="9"/>
      <c r="AM53" s="1"/>
      <c r="AN53" s="9"/>
      <c r="AO53" s="1"/>
      <c r="AP53" s="9"/>
      <c r="AQ53" s="1"/>
      <c r="AR53" s="9"/>
      <c r="AS53" s="1"/>
      <c r="AT53" s="9"/>
      <c r="AU53" s="1"/>
      <c r="AV53" s="9"/>
      <c r="AW53" s="1"/>
      <c r="AX53" s="9"/>
      <c r="AY53" s="2">
        <v>25000</v>
      </c>
      <c r="AZ53" s="9">
        <v>1</v>
      </c>
    </row>
    <row r="54" spans="1:52" ht="15">
      <c r="A54" t="s">
        <v>75</v>
      </c>
      <c r="B54" t="s">
        <v>28</v>
      </c>
      <c r="C54" s="1"/>
      <c r="D54" s="9"/>
      <c r="E54" s="1"/>
      <c r="F54" s="9"/>
      <c r="G54" s="1"/>
      <c r="H54" s="9"/>
      <c r="I54" s="1"/>
      <c r="J54" s="9"/>
      <c r="K54" s="1">
        <v>167871</v>
      </c>
      <c r="L54" s="9">
        <v>4</v>
      </c>
      <c r="M54" s="1"/>
      <c r="N54" s="9"/>
      <c r="O54" s="1"/>
      <c r="P54" s="9"/>
      <c r="Q54" s="1"/>
      <c r="R54" s="9"/>
      <c r="S54" s="1"/>
      <c r="T54" s="9"/>
      <c r="U54" s="1"/>
      <c r="V54" s="9"/>
      <c r="W54" s="1"/>
      <c r="X54" s="9"/>
      <c r="Y54" s="1">
        <v>2430</v>
      </c>
      <c r="Z54" s="9">
        <v>1</v>
      </c>
      <c r="AA54" s="1"/>
      <c r="AB54" s="9"/>
      <c r="AC54" s="1">
        <v>5000</v>
      </c>
      <c r="AD54" s="9">
        <v>1</v>
      </c>
      <c r="AE54" s="1"/>
      <c r="AF54" s="9"/>
      <c r="AG54" s="1"/>
      <c r="AH54" s="9"/>
      <c r="AI54" s="1"/>
      <c r="AJ54" s="9"/>
      <c r="AK54" s="1">
        <v>5000</v>
      </c>
      <c r="AL54" s="9">
        <v>1</v>
      </c>
      <c r="AM54" s="1"/>
      <c r="AN54" s="9"/>
      <c r="AO54" s="1"/>
      <c r="AP54" s="9"/>
      <c r="AQ54" s="1"/>
      <c r="AR54" s="9"/>
      <c r="AS54" s="1">
        <v>5000</v>
      </c>
      <c r="AT54" s="9">
        <v>1</v>
      </c>
      <c r="AU54" s="1">
        <v>10000</v>
      </c>
      <c r="AV54" s="9">
        <v>2</v>
      </c>
      <c r="AW54" s="1">
        <v>79979.399999999994</v>
      </c>
      <c r="AX54" s="9">
        <v>1</v>
      </c>
      <c r="AY54" s="2">
        <v>275280.40000000002</v>
      </c>
      <c r="AZ54" s="9">
        <v>11</v>
      </c>
    </row>
    <row r="55" spans="1:52" ht="15">
      <c r="A55" t="s">
        <v>76</v>
      </c>
      <c r="B55" t="s">
        <v>28</v>
      </c>
      <c r="C55" s="1"/>
      <c r="D55" s="9"/>
      <c r="E55" s="1"/>
      <c r="F55" s="9"/>
      <c r="G55" s="1"/>
      <c r="H55" s="9"/>
      <c r="I55" s="1"/>
      <c r="J55" s="9"/>
      <c r="K55" s="1"/>
      <c r="L55" s="9"/>
      <c r="M55" s="1"/>
      <c r="N55" s="9"/>
      <c r="O55" s="1"/>
      <c r="P55" s="9"/>
      <c r="Q55" s="1"/>
      <c r="R55" s="9"/>
      <c r="S55" s="1"/>
      <c r="T55" s="9"/>
      <c r="U55" s="1"/>
      <c r="V55" s="9"/>
      <c r="W55" s="1"/>
      <c r="X55" s="9"/>
      <c r="Y55" s="1"/>
      <c r="Z55" s="9"/>
      <c r="AA55" s="1"/>
      <c r="AB55" s="9"/>
      <c r="AC55" s="1"/>
      <c r="AD55" s="9"/>
      <c r="AE55" s="1"/>
      <c r="AF55" s="9"/>
      <c r="AG55" s="1"/>
      <c r="AH55" s="9"/>
      <c r="AI55" s="1"/>
      <c r="AJ55" s="9"/>
      <c r="AK55" s="1"/>
      <c r="AL55" s="9"/>
      <c r="AM55" s="1"/>
      <c r="AN55" s="9"/>
      <c r="AO55" s="1"/>
      <c r="AP55" s="9"/>
      <c r="AQ55" s="1"/>
      <c r="AR55" s="9"/>
      <c r="AS55" s="1"/>
      <c r="AT55" s="9"/>
      <c r="AU55" s="1"/>
      <c r="AV55" s="9"/>
      <c r="AW55" s="1">
        <v>442359.59</v>
      </c>
      <c r="AX55" s="9">
        <v>100</v>
      </c>
      <c r="AY55" s="2">
        <v>442359.59</v>
      </c>
      <c r="AZ55" s="9">
        <v>100</v>
      </c>
    </row>
    <row r="56" spans="1:52" ht="15">
      <c r="A56" t="s">
        <v>183</v>
      </c>
      <c r="B56" t="s">
        <v>30</v>
      </c>
      <c r="C56" s="1">
        <v>7616</v>
      </c>
      <c r="D56" s="9">
        <v>5</v>
      </c>
      <c r="E56" s="1"/>
      <c r="F56" s="9"/>
      <c r="G56" s="1"/>
      <c r="H56" s="9"/>
      <c r="I56" s="1"/>
      <c r="J56" s="9"/>
      <c r="K56" s="1"/>
      <c r="L56" s="9"/>
      <c r="M56" s="1"/>
      <c r="N56" s="9"/>
      <c r="O56" s="1">
        <v>34437.130000000005</v>
      </c>
      <c r="P56" s="9">
        <v>15</v>
      </c>
      <c r="Q56" s="1"/>
      <c r="R56" s="9"/>
      <c r="S56" s="1">
        <v>439978.36000000004</v>
      </c>
      <c r="T56" s="9">
        <v>130</v>
      </c>
      <c r="U56" s="1">
        <v>67557.17</v>
      </c>
      <c r="V56" s="9">
        <v>27</v>
      </c>
      <c r="W56" s="1">
        <v>667199.43999999994</v>
      </c>
      <c r="X56" s="9">
        <v>97</v>
      </c>
      <c r="Y56" s="1">
        <v>389970.35000000003</v>
      </c>
      <c r="Z56" s="9">
        <v>116</v>
      </c>
      <c r="AA56" s="1"/>
      <c r="AB56" s="9"/>
      <c r="AC56" s="1">
        <v>500</v>
      </c>
      <c r="AD56" s="9">
        <v>1</v>
      </c>
      <c r="AE56" s="1"/>
      <c r="AF56" s="9"/>
      <c r="AG56" s="1"/>
      <c r="AH56" s="9"/>
      <c r="AI56" s="1">
        <v>26679</v>
      </c>
      <c r="AJ56" s="9">
        <v>10</v>
      </c>
      <c r="AK56" s="1"/>
      <c r="AL56" s="9"/>
      <c r="AM56" s="1">
        <v>18342.400000000001</v>
      </c>
      <c r="AN56" s="9">
        <v>19</v>
      </c>
      <c r="AO56" s="1">
        <v>87471.05</v>
      </c>
      <c r="AP56" s="9">
        <v>39</v>
      </c>
      <c r="AQ56" s="1">
        <v>36362</v>
      </c>
      <c r="AR56" s="9">
        <v>16</v>
      </c>
      <c r="AS56" s="1"/>
      <c r="AT56" s="9"/>
      <c r="AU56" s="1"/>
      <c r="AV56" s="9"/>
      <c r="AW56" s="1">
        <v>195758.99</v>
      </c>
      <c r="AX56" s="9">
        <v>94</v>
      </c>
      <c r="AY56" s="2">
        <v>1971871.8900000001</v>
      </c>
      <c r="AZ56" s="9">
        <v>569</v>
      </c>
    </row>
    <row r="57" spans="1:52" ht="15">
      <c r="A57" t="s">
        <v>82</v>
      </c>
      <c r="C57" s="1">
        <f>SUBTOTAL(109,Table1[[ Data missing]])</f>
        <v>5258403.62</v>
      </c>
      <c r="D57" s="10">
        <f>SUBTOTAL(109,Table1[Data Missing Awards])</f>
        <v>215</v>
      </c>
      <c r="E57" s="1">
        <f>SUBTOTAL(109,Table1[ Y&amp;H Region-wide])</f>
        <v>2166644</v>
      </c>
      <c r="F57" s="10">
        <f>SUBTOTAL(109,Table1[ Y&amp;H Region-wide Awards])</f>
        <v>113</v>
      </c>
      <c r="G57" s="1">
        <f>SUBTOTAL(109,Table1[2 or more Local Authorities])</f>
        <v>681734</v>
      </c>
      <c r="H57" s="10">
        <f>SUBTOTAL(109,Table1[2 or more Local Authorities Awards])</f>
        <v>107</v>
      </c>
      <c r="I57" s="1">
        <f>SUBTOTAL(109,Table1[Barnsley])</f>
        <v>6781912.2800000003</v>
      </c>
      <c r="J57" s="10">
        <f>SUBTOTAL(109,Table1[Barnsley Awards])</f>
        <v>297</v>
      </c>
      <c r="K57" s="1">
        <f>SUBTOTAL(109,Table1[Bradford])</f>
        <v>31033680.868431911</v>
      </c>
      <c r="L57" s="9">
        <f>SUBTOTAL(109,Table1[Bradford Awards])</f>
        <v>1042</v>
      </c>
      <c r="M57" s="1">
        <f>SUBTOTAL(109,Table1[Calderdale])</f>
        <v>8983658.4616614152</v>
      </c>
      <c r="N57" s="9">
        <f>SUBTOTAL(109,Table1[Calderdale Awards])</f>
        <v>271</v>
      </c>
      <c r="O57" s="1">
        <f>SUBTOTAL(109,Table1[Craven])</f>
        <v>2474537.9200000004</v>
      </c>
      <c r="P57" s="9">
        <f>SUBTOTAL(109,Table1[Craven Awards])</f>
        <v>187</v>
      </c>
      <c r="Q57" s="1">
        <f>SUBTOTAL(109,Table1[Doncaster])</f>
        <v>9787788.790000001</v>
      </c>
      <c r="R57" s="9">
        <f>SUBTOTAL(109,Table1[Doncaster Awards])</f>
        <v>395</v>
      </c>
      <c r="S57" s="1">
        <f>SUBTOTAL(109,Table1[East Riding of Yorkshire])</f>
        <v>9330906.6899999995</v>
      </c>
      <c r="T57" s="9">
        <f>SUBTOTAL(109,Table1[East Riding of Yorkshire Awards])</f>
        <v>389</v>
      </c>
      <c r="U57" s="1">
        <f>SUBTOTAL(109,Table1[Hambleton])</f>
        <v>4408494.4519535834</v>
      </c>
      <c r="V57" s="10">
        <f>SUBTOTAL(109,Table1[Hambleton Awards])</f>
        <v>178</v>
      </c>
      <c r="W57" s="1">
        <f>SUBTOTAL(109,Table1[Harrogate])</f>
        <v>13212534.289999999</v>
      </c>
      <c r="X57" s="10">
        <f>SUBTOTAL(109,Table1[Harrogate Awards])</f>
        <v>406</v>
      </c>
      <c r="Y57" s="1">
        <f>SUBTOTAL(109,Table1[Kingston upon Hull, City of])</f>
        <v>22562937.449999999</v>
      </c>
      <c r="Z57" s="10">
        <f>SUBTOTAL(109,Table1[Kingston upon Hull, City of Awards])</f>
        <v>505</v>
      </c>
      <c r="AA57" s="1">
        <f>SUBTOTAL(109,Table1[Kirklees])</f>
        <v>15242319.240000002</v>
      </c>
      <c r="AB57" s="10">
        <f>SUBTOTAL(109,Table1[Kirklees Awards])</f>
        <v>440</v>
      </c>
      <c r="AC57" s="1">
        <f>SUBTOTAL(109,Table1[Leeds])</f>
        <v>73362650.540239662</v>
      </c>
      <c r="AD57" s="10">
        <f>SUBTOTAL(109,Table1[Leeds Awards])</f>
        <v>2303</v>
      </c>
      <c r="AE57" s="1">
        <f>SUBTOTAL(109,Table1[North East Lincolnshire])</f>
        <v>7233106.6200000001</v>
      </c>
      <c r="AF57" s="10">
        <f>SUBTOTAL(109,Table1[North East Lincolnshire Awards])</f>
        <v>185</v>
      </c>
      <c r="AG57" s="1">
        <f>SUBTOTAL(109,Table1[North Lincolnshire])</f>
        <v>3762091.4699999997</v>
      </c>
      <c r="AH57" s="10">
        <f>SUBTOTAL(109,Table1[North Lincolnshire Awards])</f>
        <v>107</v>
      </c>
      <c r="AI57" s="1">
        <f>SUBTOTAL(109,Table1[Richmondshire])</f>
        <v>3404117.29</v>
      </c>
      <c r="AJ57" s="10">
        <f>SUBTOTAL(109,Table1[Richmondshire Awards])</f>
        <v>85</v>
      </c>
      <c r="AK57" s="1">
        <f>SUBTOTAL(109,Table1[Rotherham])</f>
        <v>11833823.470000001</v>
      </c>
      <c r="AL57" s="10">
        <f>SUBTOTAL(109,Table1[Rotherham Awards])</f>
        <v>382</v>
      </c>
      <c r="AM57" s="1">
        <f>SUBTOTAL(109,Table1[Ryedale])</f>
        <v>7708478.3200000003</v>
      </c>
      <c r="AN57" s="10">
        <f>SUBTOTAL(109,Table1[Ryedale Awards])</f>
        <v>111</v>
      </c>
      <c r="AO57" s="1">
        <f>SUBTOTAL(109,Table1[Scarborough])</f>
        <v>5885657.8499999987</v>
      </c>
      <c r="AP57" s="10">
        <f>SUBTOTAL(109,Table1[Scarborough Awards])</f>
        <v>210</v>
      </c>
      <c r="AQ57" s="1">
        <f>SUBTOTAL(109,Table1[Selby])</f>
        <v>2791382.2800000003</v>
      </c>
      <c r="AR57" s="10">
        <f>SUBTOTAL(109,Table1[Selby Awards])</f>
        <v>85</v>
      </c>
      <c r="AS57" s="1">
        <f>SUBTOTAL(109,Table1[Sheffield])</f>
        <v>43914731.123907156</v>
      </c>
      <c r="AT57" s="10">
        <f>SUBTOTAL(109,Table1[Sheffield Awards])</f>
        <v>1119</v>
      </c>
      <c r="AU57" s="1">
        <f>SUBTOTAL(109,Table1[Wakefield])</f>
        <v>8249515.8600000003</v>
      </c>
      <c r="AV57" s="10">
        <f>SUBTOTAL(109,Table1[Wakefield Awards])</f>
        <v>298</v>
      </c>
      <c r="AW57" s="1">
        <f>SUBTOTAL(109,Table1[York])</f>
        <v>10614934.34</v>
      </c>
      <c r="AX57" s="10">
        <f>SUBTOTAL(109,Table1[York Awards])</f>
        <v>457</v>
      </c>
      <c r="AY57" s="2">
        <f>SUBTOTAL(109,Table1[Grand Total by Organisation])</f>
        <v>310686041.22619367</v>
      </c>
      <c r="AZ57" s="9">
        <f>SUBTOTAL(109,Table1[Total Awards])</f>
        <v>9887</v>
      </c>
    </row>
    <row r="58" spans="1:52">
      <c r="L58" s="7"/>
    </row>
  </sheetData>
  <pageMargins left="0.7" right="0.7" top="0.75" bottom="0.75" header="0.3" footer="0.3"/>
  <pageSetup paperSize="9" orientation="portrait" horizontalDpi="360" verticalDpi="36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E6699E8052A8408AE656E8BD0CB996" ma:contentTypeVersion="2" ma:contentTypeDescription="Create a new document." ma:contentTypeScope="" ma:versionID="dddcd0c18d574b61b9dfaf963a981a46">
  <xsd:schema xmlns:xsd="http://www.w3.org/2001/XMLSchema" xmlns:xs="http://www.w3.org/2001/XMLSchema" xmlns:p="http://schemas.microsoft.com/office/2006/metadata/properties" xmlns:ns2="28e052ce-24cb-4466-9ed2-8b006307d6fa" targetNamespace="http://schemas.microsoft.com/office/2006/metadata/properties" ma:root="true" ma:fieldsID="621a094409a1122375f6065d89d041a2" ns2:_="">
    <xsd:import namespace="28e052ce-24cb-4466-9ed2-8b006307d6f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052ce-24cb-4466-9ed2-8b006307d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0C761F-F559-441E-A515-8B01E1BA1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052ce-24cb-4466-9ed2-8b006307d6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A93C8B-7E01-41DC-97CE-4FFD949F8018}">
  <ds:schemaRefs>
    <ds:schemaRef ds:uri="http://schemas.microsoft.com/sharepoint/v3/contenttype/forms"/>
  </ds:schemaRefs>
</ds:datastoreItem>
</file>

<file path=customXml/itemProps3.xml><?xml version="1.0" encoding="utf-8"?>
<ds:datastoreItem xmlns:ds="http://schemas.openxmlformats.org/officeDocument/2006/customXml" ds:itemID="{014A273D-F8E3-4B0C-8060-17686900618F}">
  <ds:schemaRefs>
    <ds:schemaRef ds:uri="http://purl.org/dc/terms/"/>
    <ds:schemaRef ds:uri="http://schemas.openxmlformats.org/package/2006/metadata/core-properties"/>
    <ds:schemaRef ds:uri="http://schemas.microsoft.com/office/2006/documentManagement/types"/>
    <ds:schemaRef ds:uri="28e052ce-24cb-4466-9ed2-8b006307d6fa"/>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Funding by LA</vt:lpstr>
      <vt:lpstr>#2 Funding by funding org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Cristiana Orlando</dc:creator>
  <cp:lastModifiedBy>Cristiana Orlando</cp:lastModifiedBy>
  <dcterms:created xsi:type="dcterms:W3CDTF">2019-02-11T17:03:06Z</dcterms:created>
  <dcterms:modified xsi:type="dcterms:W3CDTF">2019-02-20T12:13:16Z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0x01010029E6699E8052A8408AE656E8BD0CB996</vt:lpwstr>
  </property>
</Properties>
</file>